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'Лист1'!$A$1:$G$581</definedName>
    <definedName name="Z_2A40CDBF_44A6_43CD_A506_F512BA6675FF_.wvu.Rows" localSheetId="0" hidden="1">'Лист1'!$114:$114,'Лист1'!$205:$206,'Лист1'!$212:$213,'Лист1'!$346:$350,'Лист1'!$376:$376,'Лист1'!$394:$395,'Лист1'!$439:$439,'Лист1'!$447:$448,'Лист1'!$475:$475,'Лист1'!$523:$524,'Лист1'!$545:$545</definedName>
    <definedName name="_xlnm.Print_Area" localSheetId="0">'Лист1'!$A$1:$G$581</definedName>
  </definedNames>
  <calcPr fullCalcOnLoad="1"/>
</workbook>
</file>

<file path=xl/sharedStrings.xml><?xml version="1.0" encoding="utf-8"?>
<sst xmlns="http://schemas.openxmlformats.org/spreadsheetml/2006/main" count="3017" uniqueCount="475">
  <si>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</si>
  <si>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</si>
  <si>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</si>
  <si>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</si>
  <si>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</si>
  <si>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</si>
  <si>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</si>
  <si>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</si>
  <si>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</si>
  <si>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</si>
  <si>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</si>
  <si>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</si>
  <si>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</si>
  <si>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</si>
  <si>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</si>
  <si>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</si>
  <si>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</si>
  <si>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</si>
  <si>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</si>
  <si>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</si>
  <si>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</si>
  <si>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</si>
  <si>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</si>
  <si>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</si>
  <si>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</si>
  <si>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</si>
  <si>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</si>
  <si>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</si>
  <si>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в том числе за счёт:</t>
  </si>
  <si>
    <t>- межбюджетных трансфертов на осуществление переданных полномочий по муниципальному финансовому контролю, из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</si>
  <si>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</si>
  <si>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</si>
  <si>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- межбюджетных трансфертов на осуществление переданных полномочий по размещению заказов на поставки товаров, выполнение работ, оказание услуг для муниципальных нужд, из бюджетов сельских поселений</t>
  </si>
  <si>
    <t>- межбюджетных трансфертов на осуществление переданных полномочий по созданию, содержанию и организации деятельности аварийно-спасательных служб и (или) аварийно-спасательных формирований, осуществляющих свою деятельность на территории поселений, из бюджетов сельских поселений</t>
  </si>
  <si>
    <t>- межбюджетных трансфертов на осуществление переданных полномочий по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путём выкупа земельных участков в границах поселения для муниципальных нужд, осуществление земельного контроля за не использованием земель поселений, из бюджетов сельских поселений</t>
  </si>
  <si>
    <t>Закупка товаров, работ, услуг в сфере информационно-коммуникационных технологий</t>
  </si>
  <si>
    <t>242</t>
  </si>
  <si>
    <t xml:space="preserve"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
</t>
  </si>
  <si>
    <t>831</t>
  </si>
  <si>
    <t xml:space="preserve">Уплата налога на имущество организаций
и земельного налога
</t>
  </si>
  <si>
    <t>851</t>
  </si>
  <si>
    <t xml:space="preserve">Уплата прочих налогов, сборов и иных
обязательных платежей
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</si>
  <si>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</si>
  <si>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</si>
  <si>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</si>
  <si>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</si>
  <si>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</si>
  <si>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</si>
  <si>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</si>
  <si>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</si>
  <si>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</si>
  <si>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- межбюджетных трансфертов на осуществление переданных полномочий по формированию, исполнению и контролю за исполнением бюджетов сельских поселений</t>
  </si>
  <si>
    <t>Приобретение товаров, работ, услуг в пользу граждан</t>
  </si>
  <si>
    <t>323</t>
  </si>
  <si>
    <t>Уплата прочих налогов, сборов и иных обязательных платежей</t>
  </si>
  <si>
    <t>521 00 00</t>
  </si>
  <si>
    <t>Расчёт и предоставление дотации поселениям</t>
  </si>
  <si>
    <t>521 05 00</t>
  </si>
  <si>
    <t>Целевые программы муниципальных образований</t>
  </si>
  <si>
    <t>795 00 00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</si>
  <si>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</si>
  <si>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</si>
  <si>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</si>
  <si>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</si>
  <si>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</si>
  <si>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</si>
  <si>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</si>
  <si>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</si>
  <si>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</si>
  <si>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образования "Кузоватовский район" на 2013 год</t>
  </si>
  <si>
    <t>Дорожное хозяйство (дорожные фонды)</t>
  </si>
  <si>
    <t>09</t>
  </si>
  <si>
    <t>Региональные целевые программы</t>
  </si>
  <si>
    <t>522 00 00</t>
  </si>
  <si>
    <t>Областная целевая программа «Развитие системы дорожного хозяйства Ульяновской области в 2009-2015 годах»</t>
  </si>
  <si>
    <t>522 75 00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</si>
  <si>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</si>
  <si>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</si>
  <si>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</si>
  <si>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</si>
  <si>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</si>
  <si>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</si>
  <si>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</si>
  <si>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</si>
  <si>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</si>
  <si>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</si>
  <si>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511</t>
  </si>
  <si>
    <t>- в том числе за счёт субвенций на осуществление переданных органам местного самоуправления государственных полномочий по расчёту и предоставлению дотаций поселениям</t>
  </si>
  <si>
    <t>Прочие межбюджетные трансферты общего характера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</si>
  <si>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</si>
  <si>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</si>
  <si>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518 01 00</t>
  </si>
  <si>
    <t>Национальная экономика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</si>
  <si>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</si>
  <si>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</si>
  <si>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- межбюджетных трансфертов на осуществление переданных полномочий по распоряжению земельными участками, находящимися в собственности муниципального образования Кузоватовское городское поселение</t>
  </si>
  <si>
    <t>Уплата налога на имущество организаций и земельного налога</t>
  </si>
  <si>
    <t>Уплата прочих налогов, сборов и иных
обязательных платежей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</si>
  <si>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</si>
  <si>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</si>
  <si>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</si>
  <si>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</si>
  <si>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Управление сельского хозяйства и продовольствия администрации муниципального образования "Кузоватовский район"</t>
  </si>
  <si>
    <t>587</t>
  </si>
  <si>
    <t>05</t>
  </si>
  <si>
    <t>Мероприятия по предупреждению и ликвидации болезней животных, защите населения от болезней, общих для человека и животных</t>
  </si>
  <si>
    <t>610 00 00</t>
  </si>
  <si>
    <t>Мероприятия по отлову безнадзорных домашних животных</t>
  </si>
  <si>
    <t>610 01 00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</si>
  <si>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</si>
  <si>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</si>
  <si>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</si>
  <si>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</si>
  <si>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</si>
  <si>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Уплата налога на имущество организаций
и земельного налога</t>
  </si>
  <si>
    <t>111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</si>
  <si>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</si>
  <si>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</si>
  <si>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</si>
  <si>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</si>
  <si>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</si>
  <si>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</si>
  <si>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</si>
  <si>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</si>
  <si>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</si>
  <si>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521 03 00</t>
  </si>
  <si>
    <t>521 07 00</t>
  </si>
  <si>
    <t>521 12 00</t>
  </si>
  <si>
    <t>Организация и обеспечение деятельности муниципальных комиссий по делам несовершеннолетних и защите их прав в Ульяновской области</t>
  </si>
  <si>
    <t>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</si>
  <si>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Сбор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</si>
  <si>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</si>
  <si>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521 14 00</t>
  </si>
  <si>
    <t>795 01 00</t>
  </si>
  <si>
    <t>795 01 01</t>
  </si>
  <si>
    <t>Целевые программы муниципального образования «Кузоватовский район»</t>
  </si>
  <si>
    <t>810</t>
  </si>
  <si>
    <t>795 01 07</t>
  </si>
  <si>
    <t>Районная программа "Патриотическое воспитание граждан муниципального образования "Кузоватовский район"</t>
  </si>
  <si>
    <t>795 01 05</t>
  </si>
  <si>
    <t>Районная целевая программа "Развитие гражданского общества муниципального образования "Кузоватовский район" на 2012-2014 годы"</t>
  </si>
  <si>
    <t>795 01 02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</si>
  <si>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</si>
  <si>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</si>
  <si>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</si>
  <si>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</si>
  <si>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</si>
  <si>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</si>
  <si>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</si>
  <si>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</si>
  <si>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Комплексная программа профилактики правонарушений в муниципальном образовании "Кузоватовский район"</t>
  </si>
  <si>
    <t>Национальная безопасность и правоохранительная деятельность</t>
  </si>
  <si>
    <t>Органы внутренних дел</t>
  </si>
  <si>
    <t>12</t>
  </si>
  <si>
    <t>Другие вопросы в области национальной экономики</t>
  </si>
  <si>
    <t>Программа развития малого и среднего предпринимательства на территории муниципального образования "Кузоватовский район"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</si>
  <si>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</si>
  <si>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</si>
  <si>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государственных учреждений) и физическим лицам - производителям товаров, работ, услуг</t>
  </si>
  <si>
    <t>Образование</t>
  </si>
  <si>
    <t>Молодёжная политика и оздоровление детей</t>
  </si>
  <si>
    <t>795 01 08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</si>
  <si>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</si>
  <si>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</si>
  <si>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</si>
  <si>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</si>
  <si>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</si>
  <si>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</si>
  <si>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</si>
  <si>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</si>
  <si>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</si>
  <si>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</si>
  <si>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</si>
  <si>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</si>
  <si>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</si>
  <si>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</si>
  <si>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Меры социальной поддержки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</si>
  <si>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</si>
  <si>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</si>
  <si>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</si>
  <si>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522 21 00</t>
  </si>
  <si>
    <t>522 21 04</t>
  </si>
  <si>
    <t>522 21 05</t>
  </si>
  <si>
    <t>Областные целевые программы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</si>
  <si>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"Социальное развитие села до 2013 года"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</si>
  <si>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</si>
  <si>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</si>
  <si>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</si>
  <si>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</si>
  <si>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</si>
  <si>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Муниципальная целевая программа «Обеспечение жильем молодых семей»</t>
  </si>
  <si>
    <t>795 01 04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</si>
  <si>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</si>
  <si>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</si>
  <si>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Общее образование</t>
  </si>
  <si>
    <t>Учреждения по внешкольной работе с детьми</t>
  </si>
  <si>
    <t>423 00 00</t>
  </si>
  <si>
    <t>Субсидии муниципальным бюджетным учреждениям</t>
  </si>
  <si>
    <t>423 98 00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</si>
  <si>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</si>
  <si>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</si>
  <si>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</si>
  <si>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</si>
  <si>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</si>
  <si>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</si>
  <si>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</si>
  <si>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</si>
  <si>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</si>
  <si>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440 98 00</t>
  </si>
  <si>
    <t>- в том числе за счёт межбюджетных трансфертов из бюджета муниципального образования Кузоватовское городское поселение на финансирование расходов, связанных с передачей полномочий по созданию условий для организации досуга и обеспечения жителей поселения услугами организаций культуры</t>
  </si>
  <si>
    <t>Субсидии бюджетным учреждениям на иные цели</t>
  </si>
  <si>
    <t>612</t>
  </si>
  <si>
    <t>Библиотеки</t>
  </si>
  <si>
    <t>442 00 00</t>
  </si>
  <si>
    <t>442 99 00</t>
  </si>
  <si>
    <t>112</t>
  </si>
  <si>
    <t>Областная целевая программа "Культура в Ульяновской области" на 2012-2016 годы</t>
  </si>
  <si>
    <t>522 98 00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</si>
  <si>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</si>
  <si>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</si>
  <si>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</si>
  <si>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</si>
  <si>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573</t>
  </si>
  <si>
    <t>Социальная помощь</t>
  </si>
  <si>
    <t>505 00 00</t>
  </si>
  <si>
    <t>505 98 00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</si>
  <si>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</si>
  <si>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</si>
  <si>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</t>
  </si>
  <si>
    <t>Дошкольное образование</t>
  </si>
  <si>
    <t>Детские дошкольные учреждения</t>
  </si>
  <si>
    <t>420 00 00</t>
  </si>
  <si>
    <t xml:space="preserve">Субсидии муниципальным бюджетным учреждениям </t>
  </si>
  <si>
    <t>420 98 00</t>
  </si>
  <si>
    <t>420 99 00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</si>
  <si>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</si>
  <si>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</si>
  <si>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>Областная целевая программа "Развитие дошкольного образования в Ульяновской области" на 2011-2012 годы"</t>
  </si>
  <si>
    <t>522 41 00</t>
  </si>
  <si>
    <t>Строительство, капитальный и текущий ремонт и материально-техническое оснащение образовательных учреждений, реализующих основные общеобразовательные программы дошкольного образования</t>
  </si>
  <si>
    <t>522 41 02</t>
  </si>
  <si>
    <t>Бюджетные инвестиции в объекты муниципальной собственности казённым учреждениям вне рамок государственного оборонного заказа</t>
  </si>
  <si>
    <t>411</t>
  </si>
  <si>
    <t>Школы-детские сады, школы начальные, неполные средние и средние</t>
  </si>
  <si>
    <t>421 00 00</t>
  </si>
  <si>
    <t>421 99 00</t>
  </si>
  <si>
    <t>423 99 00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</si>
  <si>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</si>
  <si>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</si>
  <si>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</si>
  <si>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</si>
  <si>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521 04 00</t>
  </si>
  <si>
    <t>Ежемесячная доплата за учёную степень педагогическим работникам, работающим в общеобразовательных учреждениях, находящихся на территории Ульяновской области, и занимающим штатные должности</t>
  </si>
  <si>
    <t>521 09 00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</si>
  <si>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 на территории Ульяновской области</t>
  </si>
  <si>
    <t>521 16 00</t>
  </si>
  <si>
    <t>Стипендии</t>
  </si>
  <si>
    <t>340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</si>
  <si>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</si>
  <si>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</si>
  <si>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795 01 03</t>
  </si>
  <si>
    <t>Целевая программа муниципального образования "Кузоватовский район" на 2012-2013 годы "Школьное молоко"</t>
  </si>
  <si>
    <t>795 01 10</t>
  </si>
  <si>
    <t>795 01 11</t>
  </si>
  <si>
    <t>795 01 12</t>
  </si>
  <si>
    <t>795 01 13</t>
  </si>
  <si>
    <t>795 01 14</t>
  </si>
  <si>
    <t>Муниципальная целевая программа "Здоровье"</t>
  </si>
  <si>
    <t>Муниципальная целевая программа "Одарённые дети"</t>
  </si>
  <si>
    <t>Муниципальная целевая программа "Патриотическое воспитание"</t>
  </si>
  <si>
    <t>Программа организации летнего отдыха, оздоровления и занятости учащихся "Лето"</t>
  </si>
  <si>
    <t>Мероприятия по проведению оздоровительной кампании детей</t>
  </si>
  <si>
    <t>432 00 00</t>
  </si>
  <si>
    <t>432 10 00</t>
  </si>
  <si>
    <t>432 11 00</t>
  </si>
  <si>
    <t xml:space="preserve">Другие вопросы в области образования </t>
  </si>
  <si>
    <t>Средства на реализацию Закона Ульяновской области от 29.05.2012 № 65-ЗО «Об организации оздоровления работников бюджетной сферы на территории Ульяновской области»</t>
  </si>
  <si>
    <t>505 97 00</t>
  </si>
  <si>
    <t>Ежемесячная денежная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</si>
  <si>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521 02 00</t>
  </si>
  <si>
    <t>521 06 00</t>
  </si>
  <si>
    <t>Опека и попечительство в отношении несовершеннолетних</t>
  </si>
  <si>
    <t>521 11 00</t>
  </si>
  <si>
    <t>Компенсация части родительской платы за содержание ребёнка (присмотр и уход за ребёнком) в не являющихся государственными образовательных организациях, реализующих основную общеобразовательную программу дошкольного образования</t>
  </si>
  <si>
    <t>521 13 00</t>
  </si>
  <si>
    <t>Содержание ребёнка в семье опекуна и приёмной семье, а также вознаграждение, причитающееся приёмному родителю</t>
  </si>
  <si>
    <t>Охрана семьи и детства</t>
  </si>
  <si>
    <t>собств</t>
  </si>
  <si>
    <t>межб пос</t>
  </si>
  <si>
    <t>бюджет</t>
  </si>
  <si>
    <t>обл</t>
  </si>
  <si>
    <t>безв 207</t>
  </si>
  <si>
    <t>Должно быть</t>
  </si>
  <si>
    <t>Разница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</si>
  <si>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</si>
  <si>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</si>
  <si>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</si>
  <si>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</si>
  <si>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</si>
  <si>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</si>
  <si>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</si>
  <si>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</si>
  <si>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</si>
  <si>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</si>
  <si>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</si>
  <si>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</si>
  <si>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</si>
  <si>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</si>
  <si>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</si>
  <si>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</si>
  <si>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</si>
  <si>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</si>
  <si>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</si>
  <si>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</si>
  <si>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</si>
  <si>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</si>
  <si>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</si>
  <si>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</si>
  <si>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</si>
  <si>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</si>
  <si>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</si>
  <si>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</si>
  <si>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</si>
  <si>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</si>
  <si>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</si>
  <si>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</si>
  <si>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</si>
  <si>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</si>
  <si>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- межбюджетных трансфертов на осуществление переданных полномочий по проведению антикоррупционных экспертиз проектов муниципальных нормативно-правовых актов, вынесение по итогам проведения антикоррупционных экспертиз соответствующих экспертизных заключений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</si>
  <si>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</si>
  <si>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</si>
  <si>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</si>
  <si>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</si>
  <si>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</si>
  <si>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</si>
  <si>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</si>
  <si>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</si>
  <si>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</si>
  <si>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</si>
  <si>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</si>
  <si>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</si>
  <si>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</si>
  <si>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795 01 09</t>
  </si>
  <si>
    <t>Районная целевая программа "Развитие библиотечного дела в муниципальном образовании "Кузоватовский район"</t>
  </si>
  <si>
    <t>521 20 00</t>
  </si>
  <si>
    <t>Областная целевая программа "Развитие сельского хозяйства Ульяновской области" на 2008-2013 годы</t>
  </si>
  <si>
    <t>Сельское хозяйство и рыболовство</t>
  </si>
  <si>
    <t>Финансовое обеспечение установления нормативов потребления населением твёрдого топлива</t>
  </si>
  <si>
    <t>521 21 00</t>
  </si>
  <si>
    <t>Проведение на территории Ульяновской области публичных мероприятий</t>
  </si>
  <si>
    <t>795 01 15</t>
  </si>
  <si>
    <t>Массовый спорт</t>
  </si>
  <si>
    <t>Районная целевая программа «Развитие физической культуры и спорта в муниципальном образовании «Кузоватовский район» на 2012-2016 годы</t>
  </si>
  <si>
    <t>1102</t>
  </si>
  <si>
    <t>Районная целевая программа «Молодёжь 2012-2014 годы», на 2013 год</t>
  </si>
  <si>
    <t>Районная целевая программа информатизации муниципального образования "Кузоватовский район" на 2012-2013 годы, на 2013 год</t>
  </si>
  <si>
    <t>522 73 10</t>
  </si>
  <si>
    <t>Областная целевая программа "Обеспечение жильём молодых семей" на 2011-2015 годы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</si>
  <si>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</si>
  <si>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</si>
  <si>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</si>
  <si>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</si>
  <si>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</si>
  <si>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</si>
  <si>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ост собств 2012</t>
  </si>
  <si>
    <t>ост безв 2012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</si>
  <si>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</si>
  <si>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</si>
  <si>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</si>
  <si>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</si>
  <si>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первонач. деф-т</t>
  </si>
  <si>
    <t>всего деф-т</t>
  </si>
  <si>
    <t>360</t>
  </si>
  <si>
    <t>Иные выплаты населению</t>
  </si>
  <si>
    <t>540</t>
  </si>
  <si>
    <t>Иные межбюджетные трансферты бюджетам поселений из муниципального района</t>
  </si>
  <si>
    <t>Иные межбюджетные трансферты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</si>
  <si>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«Социальное развитие села до 2013 года»</t>
  </si>
  <si>
    <t>795 01 16</t>
  </si>
  <si>
    <t>Программа газификации муниципального образования "Кузоватовский район" на 2013-2017 годы</t>
  </si>
  <si>
    <t>522 98 06</t>
  </si>
  <si>
    <t>Комплектование библиотечных фондов</t>
  </si>
  <si>
    <t>528 00 00</t>
  </si>
  <si>
    <t>798 00 00</t>
  </si>
  <si>
    <t>522 90 00</t>
  </si>
  <si>
    <t>Областная целевая программа "Чистая вода" на 2011-2015 годы</t>
  </si>
  <si>
    <t>522 90 01</t>
  </si>
  <si>
    <t>522 90 02</t>
  </si>
  <si>
    <t>522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</si>
  <si>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2013 года"</t>
  </si>
  <si>
    <t>Реализация мероприятий областной целевой программы "Чистая вода" на 2011-2015 годы</t>
  </si>
  <si>
    <t>Субсидии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</si>
  <si>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</si>
  <si>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Коммунальное хозяйство</t>
  </si>
  <si>
    <t>0502</t>
  </si>
  <si>
    <t>0501</t>
  </si>
  <si>
    <t>0503</t>
  </si>
  <si>
    <t>1002</t>
  </si>
  <si>
    <t>522 16 00</t>
  </si>
  <si>
    <t>522 16 01</t>
  </si>
  <si>
    <t>522 16 02</t>
  </si>
  <si>
    <t>Областная целевая программа "Газификация населенных пунктов Ульяновской области в 2009-2013 годах"</t>
  </si>
  <si>
    <t>Строительство газопроводов по областной целевой программе "Газификация населённых пунктов Ульяновской области в 2009-2013 годах"</t>
  </si>
  <si>
    <t>Софинансирование мероприятий по развитию газификации в сельской местности по федеральной целевой программе "Социальное развитие села до 2013 года" в рамках областной целевой программы "Газификация населённых пунктов Ульяновской области в 2009-2013 годах"</t>
  </si>
  <si>
    <t>100 11 00</t>
  </si>
  <si>
    <t>100 11 99</t>
  </si>
  <si>
    <t>Федеральная целевая программа "Социальное развитие села до 2013 года"</t>
  </si>
  <si>
    <t>522 95 00</t>
  </si>
  <si>
    <t>522 95 03</t>
  </si>
  <si>
    <t>Областная целевая программа «Развитие и модернизация образования в Ульяновской области» на 2011-2015 годы</t>
  </si>
  <si>
    <t>Развитие материально-технической базы системы дошкольного образования</t>
  </si>
  <si>
    <t>436 21 00</t>
  </si>
  <si>
    <t>436 00 00</t>
  </si>
  <si>
    <t>Мероприятия в области образования</t>
  </si>
  <si>
    <t>Модернизация региональных систем общего образования</t>
  </si>
  <si>
    <t>505 85 00</t>
  </si>
  <si>
    <t>505 85 19</t>
  </si>
  <si>
    <t>Другие вопросы в области социальной политики</t>
  </si>
  <si>
    <t>Оказание других видов социальной помощи</t>
  </si>
  <si>
    <t xml:space="preserve">Средства на реализацию постановления Правительства Ульяновской области от 30.03.2011 № 12/131-П «О предоставлении социальных выплат на приобретение жилья отдельным категориям граждан, постоянно проживающих на территории Ульяновской области»
</t>
  </si>
  <si>
    <t>795 01 06</t>
  </si>
  <si>
    <t>Муниципальная целевая программа "Энергосбережение на территории муниципального образования "Кузоватовский район" на 2013-2014 годы"</t>
  </si>
  <si>
    <t>Целевые программы муниципального образования "Кузоватовский район"</t>
  </si>
  <si>
    <t>1006</t>
  </si>
  <si>
    <t>- межбюджетных трансфертов на осуществление переданных полномочий по осуществлению жилищного контроля</t>
  </si>
  <si>
    <t>Реализация мероприятий федеральной целевой программы "Социальное развитие села до 2013 года"</t>
  </si>
  <si>
    <t xml:space="preserve">Уплата налога на имущество организаций и земельного налога
</t>
  </si>
  <si>
    <t>Резервный фонд Правительства Ульяновской области</t>
  </si>
  <si>
    <t>070 04 00</t>
  </si>
  <si>
    <t>Закупка товаров, работ, услуг в целях капитального ремонта муниципального имущества</t>
  </si>
  <si>
    <t>243</t>
  </si>
  <si>
    <t>440 09 00</t>
  </si>
  <si>
    <t>Подключение общедоступных библиотек Российской Федерации к сети Интернет</t>
  </si>
  <si>
    <t>795 01 18</t>
  </si>
  <si>
    <t>Муниципальная программа "Развитие внутреннего и выездного туризма в муниципальном образовании "Кузоватовский район" на 2011-2015 годы"</t>
  </si>
  <si>
    <t>505 86 00</t>
  </si>
  <si>
    <t>795 01 19</t>
  </si>
  <si>
    <t>Муниципальная программа "Обеспечение жильём граждан, молодых семей и молодых специалистов, проживающих в сельской местности муниципального образования "Кузоватовский район" на 2012-2016 годы"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</si>
  <si>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</si>
  <si>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</si>
  <si>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- межбюджетных трансфертов на осуществление переданных полномочий по установлению тарифов на подключение к коммунальным структурам, надбавок к тарифам на услуги организации коммунального комплекса, расчётов критериев доступности платы за коммунальные услуги граждан</t>
  </si>
  <si>
    <t>436 27 00</t>
  </si>
  <si>
    <t>Модернизация региональных систем дошкольного образования</t>
  </si>
  <si>
    <t>Районная целевая программа "Доступная среда на 2011-2013 годы"</t>
  </si>
  <si>
    <t>795 01 17</t>
  </si>
  <si>
    <t>100 90 00</t>
  </si>
  <si>
    <t>Государственная программа Российской Федерации «Доступная среда» на 2011-2015 годы</t>
  </si>
  <si>
    <t>возврат 219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</si>
  <si>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общеобразовательных организациях для детей-сирот и детей, оставшихся без попечения родителей, и детей, находящихся в трудной жизненной ситуации, в загородных детских оздоровительных лагерях (центрах)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</si>
  <si>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</si>
  <si>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436 95 00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</si>
  <si>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</si>
  <si>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100 89 00</t>
  </si>
  <si>
    <t>Федеральная целевая программа развития образования на 2011-2015 годы</t>
  </si>
  <si>
    <t>440 16 00</t>
  </si>
  <si>
    <t>440 16 01</t>
  </si>
  <si>
    <t>440 16 02</t>
  </si>
  <si>
    <t xml:space="preserve">Государственная поддержка муниципальных учреждений культуры, находящихся на территориях сельских поселений, и их работников
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</si>
  <si>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</si>
  <si>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</si>
  <si>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303 00 00</t>
  </si>
  <si>
    <t>303 02 00</t>
  </si>
  <si>
    <t>0408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</si>
  <si>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</si>
  <si>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</si>
  <si>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</si>
  <si>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600 05 00</t>
  </si>
  <si>
    <t>600 00 00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</si>
  <si>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</si>
  <si>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</si>
  <si>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</si>
  <si>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</si>
  <si>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</si>
  <si>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</si>
  <si>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от  21.11.2013  № 4/25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</si>
</sst>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2" fontId="4" fillId="0" borderId="18" xfId="0" applyNumberFormat="1" applyFont="1" applyBorder="1" applyAlignment="1" quotePrefix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4" fontId="3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2"/>
  <sheetViews>
    <sheetView tabSelected="1" zoomScalePageLayoutView="0" workbookViewId="0" topLeftCell="A576">
      <selection activeCell="G443" sqref="G443"/>
    </sheetView>
  </sheetViews>
  <sheetFormatPr defaultColWidth="9.140625" defaultRowHeight="15"/>
  <cols>
    <col min="1" max="1" width="50.28125" style="0" customWidth="1"/>
    <col min="2" max="2" width="6.8515625" style="0" customWidth="1"/>
    <col min="3" max="4" width="6.00390625" style="0" customWidth="1"/>
    <col min="5" max="5" width="10.421875" style="0" customWidth="1"/>
    <col min="6" max="6" width="7.421875" style="0" customWidth="1"/>
    <col min="7" max="7" width="19.7109375" style="0" customWidth="1"/>
    <col min="8" max="8" width="14.57421875" style="0" customWidth="1"/>
    <col min="9" max="9" width="11.57421875" style="0" customWidth="1"/>
    <col min="10" max="10" width="14.140625" style="0" customWidth="1"/>
  </cols>
  <sheetData>
    <row r="1" spans="1:7" ht="15.75">
      <c r="A1" s="1"/>
      <c r="B1" s="1"/>
      <c r="C1" s="1"/>
      <c r="D1" s="1"/>
      <c r="E1" s="3" t="s">
        <v>0</v>
      </c>
      <c r="F1" s="1"/>
      <c r="G1" s="1"/>
    </row>
    <row r="2" spans="1:7" ht="15.75">
      <c r="A2" s="1"/>
      <c r="B2" s="1"/>
      <c r="C2" s="1"/>
      <c r="D2" s="1"/>
      <c r="E2" s="3" t="s">
        <v>1</v>
      </c>
      <c r="F2" s="1"/>
      <c r="G2" s="1"/>
    </row>
    <row r="3" spans="1:7" ht="15.75">
      <c r="A3" s="1"/>
      <c r="B3" s="1"/>
      <c r="C3" s="1"/>
      <c r="D3" s="1"/>
      <c r="E3" s="3" t="s">
        <v>2</v>
      </c>
      <c r="F3" s="1"/>
      <c r="G3" s="1"/>
    </row>
    <row r="4" spans="1:7" ht="15.75">
      <c r="A4" s="1"/>
      <c r="B4" s="1"/>
      <c r="C4" s="1"/>
      <c r="D4" s="1"/>
      <c r="E4" s="3" t="s">
        <v>3</v>
      </c>
      <c r="F4" s="1"/>
      <c r="G4" s="1"/>
    </row>
    <row r="5" spans="1:7" ht="15.75">
      <c r="A5" s="1"/>
      <c r="B5" s="1"/>
      <c r="C5" s="1"/>
      <c r="D5" s="1"/>
      <c r="E5" s="3" t="s">
        <v>474</v>
      </c>
      <c r="F5" s="1"/>
      <c r="G5" s="1"/>
    </row>
    <row r="6" spans="1:7" ht="15.75">
      <c r="A6" s="1"/>
      <c r="B6" s="1"/>
      <c r="C6" s="1"/>
      <c r="D6" s="1"/>
      <c r="E6" s="3"/>
      <c r="F6" s="1"/>
      <c r="G6" s="1"/>
    </row>
    <row r="7" spans="1:7" ht="15.75">
      <c r="A7" s="52" t="s">
        <v>4</v>
      </c>
      <c r="B7" s="52"/>
      <c r="C7" s="52"/>
      <c r="D7" s="52"/>
      <c r="E7" s="52"/>
      <c r="F7" s="52"/>
      <c r="G7" s="52"/>
    </row>
    <row r="8" spans="1:7" ht="15.75">
      <c r="A8" s="52" t="s">
        <v>69</v>
      </c>
      <c r="B8" s="52"/>
      <c r="C8" s="52"/>
      <c r="D8" s="52"/>
      <c r="E8" s="52"/>
      <c r="F8" s="52"/>
      <c r="G8" s="52"/>
    </row>
    <row r="9" spans="1:7" ht="13.5" customHeight="1">
      <c r="A9" s="21"/>
      <c r="B9" s="4"/>
      <c r="C9" s="4"/>
      <c r="D9" s="4"/>
      <c r="E9" s="4"/>
      <c r="F9" s="1"/>
      <c r="G9" s="13"/>
    </row>
    <row r="10" spans="1:7" ht="15.75">
      <c r="A10" s="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4" t="s">
        <v>11</v>
      </c>
    </row>
    <row r="11" spans="1:8" ht="31.5">
      <c r="A11" s="22" t="s">
        <v>12</v>
      </c>
      <c r="B11" s="6" t="s">
        <v>13</v>
      </c>
      <c r="C11" s="6"/>
      <c r="D11" s="6"/>
      <c r="E11" s="6"/>
      <c r="F11" s="6"/>
      <c r="G11" s="15">
        <f>SUM(G12,G76,G100,G117,G137,G143,G184)</f>
        <v>39213.416269999994</v>
      </c>
      <c r="H11" s="48"/>
    </row>
    <row r="12" spans="1:7" ht="15.75">
      <c r="A12" s="23" t="s">
        <v>14</v>
      </c>
      <c r="B12" s="2" t="s">
        <v>13</v>
      </c>
      <c r="C12" s="2" t="s">
        <v>15</v>
      </c>
      <c r="D12" s="2"/>
      <c r="E12" s="2"/>
      <c r="F12" s="2"/>
      <c r="G12" s="16">
        <f>SUM(G13,G21,G44,G40,G49)</f>
        <v>25286.55267</v>
      </c>
    </row>
    <row r="13" spans="1:7" ht="63">
      <c r="A13" s="23" t="s">
        <v>16</v>
      </c>
      <c r="B13" s="2" t="s">
        <v>13</v>
      </c>
      <c r="C13" s="2" t="s">
        <v>15</v>
      </c>
      <c r="D13" s="2" t="s">
        <v>17</v>
      </c>
      <c r="E13" s="2"/>
      <c r="F13" s="2"/>
      <c r="G13" s="16">
        <f>SUM(G14)</f>
        <v>1562.53</v>
      </c>
    </row>
    <row r="14" spans="1:7" ht="63">
      <c r="A14" s="23" t="s">
        <v>18</v>
      </c>
      <c r="B14" s="2" t="s">
        <v>13</v>
      </c>
      <c r="C14" s="2" t="s">
        <v>15</v>
      </c>
      <c r="D14" s="2" t="s">
        <v>17</v>
      </c>
      <c r="E14" s="2" t="s">
        <v>19</v>
      </c>
      <c r="F14" s="2"/>
      <c r="G14" s="16">
        <f>SUM(G15)</f>
        <v>1562.53</v>
      </c>
    </row>
    <row r="15" spans="1:7" ht="15.75">
      <c r="A15" s="23" t="s">
        <v>20</v>
      </c>
      <c r="B15" s="2" t="s">
        <v>13</v>
      </c>
      <c r="C15" s="2" t="s">
        <v>15</v>
      </c>
      <c r="D15" s="2" t="s">
        <v>17</v>
      </c>
      <c r="E15" s="2" t="s">
        <v>21</v>
      </c>
      <c r="F15" s="2"/>
      <c r="G15" s="16">
        <f>SUM(G16:G18)</f>
        <v>1562.53</v>
      </c>
    </row>
    <row r="16" spans="1:7" ht="15.75">
      <c r="A16" s="23" t="s">
        <v>22</v>
      </c>
      <c r="B16" s="2" t="s">
        <v>13</v>
      </c>
      <c r="C16" s="2" t="s">
        <v>15</v>
      </c>
      <c r="D16" s="2" t="s">
        <v>17</v>
      </c>
      <c r="E16" s="2" t="s">
        <v>21</v>
      </c>
      <c r="F16" s="2" t="s">
        <v>23</v>
      </c>
      <c r="G16" s="16">
        <v>1558</v>
      </c>
    </row>
    <row r="17" spans="1:7" ht="31.5" hidden="1">
      <c r="A17" s="23" t="s">
        <v>24</v>
      </c>
      <c r="B17" s="2" t="s">
        <v>13</v>
      </c>
      <c r="C17" s="2" t="s">
        <v>15</v>
      </c>
      <c r="D17" s="2" t="s">
        <v>17</v>
      </c>
      <c r="E17" s="2" t="s">
        <v>21</v>
      </c>
      <c r="F17" s="2" t="s">
        <v>25</v>
      </c>
      <c r="G17" s="16">
        <f>1-1</f>
        <v>0</v>
      </c>
    </row>
    <row r="18" spans="1:7" ht="31.5">
      <c r="A18" s="23" t="s">
        <v>26</v>
      </c>
      <c r="B18" s="7" t="s">
        <v>13</v>
      </c>
      <c r="C18" s="7" t="s">
        <v>15</v>
      </c>
      <c r="D18" s="7" t="s">
        <v>17</v>
      </c>
      <c r="E18" s="7" t="s">
        <v>21</v>
      </c>
      <c r="F18" s="7" t="s">
        <v>27</v>
      </c>
      <c r="G18" s="18">
        <f>37-32.47</f>
        <v>4.530000000000001</v>
      </c>
    </row>
    <row r="19" spans="1:7" ht="15.75">
      <c r="A19" s="28" t="s">
        <v>28</v>
      </c>
      <c r="B19" s="7"/>
      <c r="C19" s="7"/>
      <c r="D19" s="7"/>
      <c r="E19" s="7"/>
      <c r="F19" s="7"/>
      <c r="G19" s="18"/>
    </row>
    <row r="20" spans="1:7" ht="63">
      <c r="A20" s="29" t="s">
        <v>29</v>
      </c>
      <c r="B20" s="8"/>
      <c r="C20" s="8"/>
      <c r="D20" s="8"/>
      <c r="E20" s="8"/>
      <c r="F20" s="8"/>
      <c r="G20" s="20">
        <v>45</v>
      </c>
    </row>
    <row r="21" spans="1:7" ht="63">
      <c r="A21" s="23" t="s">
        <v>30</v>
      </c>
      <c r="B21" s="8" t="s">
        <v>13</v>
      </c>
      <c r="C21" s="8" t="s">
        <v>15</v>
      </c>
      <c r="D21" s="8" t="s">
        <v>31</v>
      </c>
      <c r="E21" s="8"/>
      <c r="F21" s="8"/>
      <c r="G21" s="20">
        <f>SUM(G22)</f>
        <v>14435.86627</v>
      </c>
    </row>
    <row r="22" spans="1:7" ht="63">
      <c r="A22" s="23" t="s">
        <v>18</v>
      </c>
      <c r="B22" s="2" t="s">
        <v>13</v>
      </c>
      <c r="C22" s="2" t="s">
        <v>15</v>
      </c>
      <c r="D22" s="2" t="s">
        <v>31</v>
      </c>
      <c r="E22" s="2" t="s">
        <v>19</v>
      </c>
      <c r="F22" s="2"/>
      <c r="G22" s="16">
        <f>SUM(G23,G38)</f>
        <v>14435.86627</v>
      </c>
    </row>
    <row r="23" spans="1:7" ht="15.75">
      <c r="A23" s="23" t="s">
        <v>20</v>
      </c>
      <c r="B23" s="2" t="s">
        <v>13</v>
      </c>
      <c r="C23" s="2" t="s">
        <v>15</v>
      </c>
      <c r="D23" s="2" t="s">
        <v>31</v>
      </c>
      <c r="E23" s="2" t="s">
        <v>21</v>
      </c>
      <c r="F23" s="2"/>
      <c r="G23" s="16">
        <f>SUM(G24:G24,G32:G37)</f>
        <v>13445.86627</v>
      </c>
    </row>
    <row r="24" spans="1:7" ht="15.75">
      <c r="A24" s="23" t="s">
        <v>22</v>
      </c>
      <c r="B24" s="2" t="s">
        <v>13</v>
      </c>
      <c r="C24" s="2" t="s">
        <v>15</v>
      </c>
      <c r="D24" s="2" t="s">
        <v>31</v>
      </c>
      <c r="E24" s="2" t="s">
        <v>21</v>
      </c>
      <c r="F24" s="2" t="s">
        <v>23</v>
      </c>
      <c r="G24" s="16">
        <f>13207.86627-30.67</f>
        <v>13177.19627</v>
      </c>
    </row>
    <row r="25" spans="1:7" ht="15.75">
      <c r="A25" s="24" t="s">
        <v>28</v>
      </c>
      <c r="B25" s="10"/>
      <c r="C25" s="10"/>
      <c r="D25" s="10"/>
      <c r="E25" s="10"/>
      <c r="F25" s="10"/>
      <c r="G25" s="18"/>
    </row>
    <row r="26" spans="1:7" ht="80.25" customHeight="1">
      <c r="A26" s="25" t="s">
        <v>32</v>
      </c>
      <c r="B26" s="11"/>
      <c r="C26" s="12"/>
      <c r="D26" s="12"/>
      <c r="E26" s="12"/>
      <c r="F26" s="12"/>
      <c r="G26" s="19">
        <v>17</v>
      </c>
    </row>
    <row r="27" spans="1:7" ht="111.75" customHeight="1">
      <c r="A27" s="26" t="s">
        <v>33</v>
      </c>
      <c r="B27" s="11"/>
      <c r="C27" s="12"/>
      <c r="D27" s="12"/>
      <c r="E27" s="12"/>
      <c r="F27" s="12"/>
      <c r="G27" s="19">
        <v>12</v>
      </c>
    </row>
    <row r="28" spans="1:7" ht="110.25" customHeight="1">
      <c r="A28" s="26" t="s">
        <v>440</v>
      </c>
      <c r="B28" s="11"/>
      <c r="C28" s="12"/>
      <c r="D28" s="12"/>
      <c r="E28" s="12"/>
      <c r="F28" s="12"/>
      <c r="G28" s="19">
        <v>17</v>
      </c>
    </row>
    <row r="29" spans="1:7" s="1" customFormat="1" ht="110.25" customHeight="1">
      <c r="A29" s="26" t="s">
        <v>328</v>
      </c>
      <c r="B29" s="11"/>
      <c r="C29" s="12"/>
      <c r="D29" s="12"/>
      <c r="E29" s="12"/>
      <c r="F29" s="12"/>
      <c r="G29" s="19">
        <v>5</v>
      </c>
    </row>
    <row r="30" spans="1:7" s="1" customFormat="1" ht="47.25">
      <c r="A30" s="26" t="s">
        <v>424</v>
      </c>
      <c r="B30" s="11"/>
      <c r="C30" s="12"/>
      <c r="D30" s="12"/>
      <c r="E30" s="12"/>
      <c r="F30" s="12"/>
      <c r="G30" s="19">
        <v>3</v>
      </c>
    </row>
    <row r="31" spans="1:7" ht="204" customHeight="1">
      <c r="A31" s="30" t="s">
        <v>34</v>
      </c>
      <c r="B31" s="8"/>
      <c r="C31" s="9"/>
      <c r="D31" s="9"/>
      <c r="E31" s="9"/>
      <c r="F31" s="9"/>
      <c r="G31" s="17">
        <v>11</v>
      </c>
    </row>
    <row r="32" spans="1:7" s="1" customFormat="1" ht="31.5">
      <c r="A32" s="23" t="s">
        <v>24</v>
      </c>
      <c r="B32" s="2" t="s">
        <v>13</v>
      </c>
      <c r="C32" s="2" t="s">
        <v>15</v>
      </c>
      <c r="D32" s="2" t="s">
        <v>31</v>
      </c>
      <c r="E32" s="2" t="s">
        <v>21</v>
      </c>
      <c r="F32" s="2" t="s">
        <v>25</v>
      </c>
      <c r="G32" s="16">
        <f>18+17.8</f>
        <v>35.8</v>
      </c>
    </row>
    <row r="33" spans="1:7" ht="31.5">
      <c r="A33" s="23" t="s">
        <v>35</v>
      </c>
      <c r="B33" s="2" t="s">
        <v>13</v>
      </c>
      <c r="C33" s="2" t="s">
        <v>15</v>
      </c>
      <c r="D33" s="2" t="s">
        <v>31</v>
      </c>
      <c r="E33" s="2" t="s">
        <v>21</v>
      </c>
      <c r="F33" s="2" t="s">
        <v>36</v>
      </c>
      <c r="G33" s="16">
        <v>10</v>
      </c>
    </row>
    <row r="34" spans="1:7" ht="31.5">
      <c r="A34" s="23" t="s">
        <v>26</v>
      </c>
      <c r="B34" s="2" t="s">
        <v>13</v>
      </c>
      <c r="C34" s="2" t="s">
        <v>15</v>
      </c>
      <c r="D34" s="2" t="s">
        <v>31</v>
      </c>
      <c r="E34" s="2" t="s">
        <v>21</v>
      </c>
      <c r="F34" s="2" t="s">
        <v>27</v>
      </c>
      <c r="G34" s="16">
        <v>178</v>
      </c>
    </row>
    <row r="35" spans="1:7" ht="111.75" customHeight="1">
      <c r="A35" s="31" t="s">
        <v>37</v>
      </c>
      <c r="B35" s="2" t="s">
        <v>13</v>
      </c>
      <c r="C35" s="2" t="s">
        <v>15</v>
      </c>
      <c r="D35" s="2" t="s">
        <v>31</v>
      </c>
      <c r="E35" s="2" t="s">
        <v>21</v>
      </c>
      <c r="F35" s="2" t="s">
        <v>38</v>
      </c>
      <c r="G35" s="16">
        <v>1</v>
      </c>
    </row>
    <row r="36" spans="1:7" ht="31.5" customHeight="1">
      <c r="A36" s="27" t="s">
        <v>39</v>
      </c>
      <c r="B36" s="2" t="s">
        <v>13</v>
      </c>
      <c r="C36" s="2" t="s">
        <v>15</v>
      </c>
      <c r="D36" s="2" t="s">
        <v>31</v>
      </c>
      <c r="E36" s="2" t="s">
        <v>21</v>
      </c>
      <c r="F36" s="2" t="s">
        <v>40</v>
      </c>
      <c r="G36" s="16">
        <v>5</v>
      </c>
    </row>
    <row r="37" spans="1:7" ht="33" customHeight="1">
      <c r="A37" s="27" t="s">
        <v>41</v>
      </c>
      <c r="B37" s="2" t="s">
        <v>13</v>
      </c>
      <c r="C37" s="2" t="s">
        <v>15</v>
      </c>
      <c r="D37" s="2" t="s">
        <v>31</v>
      </c>
      <c r="E37" s="2" t="s">
        <v>21</v>
      </c>
      <c r="F37" s="2" t="s">
        <v>42</v>
      </c>
      <c r="G37" s="16">
        <f>26+12.87</f>
        <v>38.87</v>
      </c>
    </row>
    <row r="38" spans="1:7" ht="47.25">
      <c r="A38" s="23" t="s">
        <v>43</v>
      </c>
      <c r="B38" s="2" t="s">
        <v>13</v>
      </c>
      <c r="C38" s="2" t="s">
        <v>15</v>
      </c>
      <c r="D38" s="2" t="s">
        <v>31</v>
      </c>
      <c r="E38" s="2" t="s">
        <v>44</v>
      </c>
      <c r="F38" s="2"/>
      <c r="G38" s="16">
        <f>SUM(G39)</f>
        <v>990</v>
      </c>
    </row>
    <row r="39" spans="1:7" ht="15.75">
      <c r="A39" s="23" t="s">
        <v>22</v>
      </c>
      <c r="B39" s="2" t="s">
        <v>13</v>
      </c>
      <c r="C39" s="2" t="s">
        <v>15</v>
      </c>
      <c r="D39" s="2" t="s">
        <v>31</v>
      </c>
      <c r="E39" s="2" t="s">
        <v>44</v>
      </c>
      <c r="F39" s="2" t="s">
        <v>23</v>
      </c>
      <c r="G39" s="16">
        <v>990</v>
      </c>
    </row>
    <row r="40" spans="1:7" s="1" customFormat="1" ht="16.5" customHeight="1">
      <c r="A40" s="23" t="s">
        <v>121</v>
      </c>
      <c r="B40" s="2" t="s">
        <v>13</v>
      </c>
      <c r="C40" s="2" t="s">
        <v>15</v>
      </c>
      <c r="D40" s="2" t="s">
        <v>117</v>
      </c>
      <c r="E40" s="2"/>
      <c r="F40" s="2"/>
      <c r="G40" s="16">
        <f>SUM(G41)</f>
        <v>992.5889999999999</v>
      </c>
    </row>
    <row r="41" spans="1:7" s="1" customFormat="1" ht="15.75">
      <c r="A41" s="23" t="s">
        <v>120</v>
      </c>
      <c r="B41" s="2" t="s">
        <v>13</v>
      </c>
      <c r="C41" s="2" t="s">
        <v>15</v>
      </c>
      <c r="D41" s="2" t="s">
        <v>117</v>
      </c>
      <c r="E41" s="2" t="s">
        <v>119</v>
      </c>
      <c r="F41" s="2"/>
      <c r="G41" s="16">
        <f>SUM(G42)</f>
        <v>992.5889999999999</v>
      </c>
    </row>
    <row r="42" spans="1:7" s="1" customFormat="1" ht="31.5">
      <c r="A42" s="23" t="s">
        <v>122</v>
      </c>
      <c r="B42" s="2" t="s">
        <v>13</v>
      </c>
      <c r="C42" s="2" t="s">
        <v>15</v>
      </c>
      <c r="D42" s="2" t="s">
        <v>117</v>
      </c>
      <c r="E42" s="2" t="s">
        <v>118</v>
      </c>
      <c r="F42" s="2"/>
      <c r="G42" s="16">
        <f>SUM(G43)</f>
        <v>992.5889999999999</v>
      </c>
    </row>
    <row r="43" spans="1:7" s="1" customFormat="1" ht="15.75">
      <c r="A43" s="23" t="s">
        <v>124</v>
      </c>
      <c r="B43" s="2" t="s">
        <v>13</v>
      </c>
      <c r="C43" s="2" t="s">
        <v>15</v>
      </c>
      <c r="D43" s="2" t="s">
        <v>117</v>
      </c>
      <c r="E43" s="2" t="s">
        <v>118</v>
      </c>
      <c r="F43" s="2" t="s">
        <v>123</v>
      </c>
      <c r="G43" s="16">
        <f>1308-315.411</f>
        <v>992.5889999999999</v>
      </c>
    </row>
    <row r="44" spans="1:7" s="1" customFormat="1" ht="15.75" hidden="1">
      <c r="A44" s="23" t="s">
        <v>333</v>
      </c>
      <c r="B44" s="2" t="s">
        <v>13</v>
      </c>
      <c r="C44" s="2" t="s">
        <v>15</v>
      </c>
      <c r="D44" s="2" t="s">
        <v>186</v>
      </c>
      <c r="E44" s="2"/>
      <c r="F44" s="2"/>
      <c r="G44" s="16">
        <f>SUM(G45)</f>
        <v>0</v>
      </c>
    </row>
    <row r="45" spans="1:7" s="1" customFormat="1" ht="15.75" hidden="1">
      <c r="A45" s="23" t="s">
        <v>333</v>
      </c>
      <c r="B45" s="2" t="s">
        <v>13</v>
      </c>
      <c r="C45" s="2" t="s">
        <v>15</v>
      </c>
      <c r="D45" s="2" t="s">
        <v>186</v>
      </c>
      <c r="E45" s="2" t="s">
        <v>329</v>
      </c>
      <c r="F45" s="2"/>
      <c r="G45" s="16">
        <f>SUM(G46)</f>
        <v>0</v>
      </c>
    </row>
    <row r="46" spans="1:7" s="1" customFormat="1" ht="15.75" hidden="1">
      <c r="A46" s="23" t="s">
        <v>335</v>
      </c>
      <c r="B46" s="2" t="s">
        <v>13</v>
      </c>
      <c r="C46" s="2" t="s">
        <v>15</v>
      </c>
      <c r="D46" s="2" t="s">
        <v>186</v>
      </c>
      <c r="E46" s="2" t="s">
        <v>330</v>
      </c>
      <c r="F46" s="2"/>
      <c r="G46" s="16">
        <f>SUM(G47)</f>
        <v>0</v>
      </c>
    </row>
    <row r="47" spans="1:7" s="1" customFormat="1" ht="31.5" hidden="1">
      <c r="A47" s="23" t="s">
        <v>334</v>
      </c>
      <c r="B47" s="2" t="s">
        <v>13</v>
      </c>
      <c r="C47" s="2" t="s">
        <v>15</v>
      </c>
      <c r="D47" s="2" t="s">
        <v>186</v>
      </c>
      <c r="E47" s="2" t="s">
        <v>331</v>
      </c>
      <c r="F47" s="2"/>
      <c r="G47" s="16">
        <f>SUM(G48)</f>
        <v>0</v>
      </c>
    </row>
    <row r="48" spans="1:7" s="1" customFormat="1" ht="15.75" hidden="1">
      <c r="A48" s="23" t="s">
        <v>336</v>
      </c>
      <c r="B48" s="2" t="s">
        <v>13</v>
      </c>
      <c r="C48" s="2" t="s">
        <v>15</v>
      </c>
      <c r="D48" s="2" t="s">
        <v>186</v>
      </c>
      <c r="E48" s="2" t="s">
        <v>331</v>
      </c>
      <c r="F48" s="2" t="s">
        <v>332</v>
      </c>
      <c r="G48" s="16"/>
    </row>
    <row r="49" spans="1:7" ht="15.75">
      <c r="A49" s="23" t="s">
        <v>45</v>
      </c>
      <c r="B49" s="2" t="s">
        <v>13</v>
      </c>
      <c r="C49" s="2" t="s">
        <v>15</v>
      </c>
      <c r="D49" s="2" t="s">
        <v>46</v>
      </c>
      <c r="E49" s="2"/>
      <c r="F49" s="2"/>
      <c r="G49" s="16">
        <f>SUM(G50,G56,G60,G70)</f>
        <v>8295.5674</v>
      </c>
    </row>
    <row r="50" spans="1:7" s="1" customFormat="1" ht="31.5">
      <c r="A50" s="23" t="s">
        <v>110</v>
      </c>
      <c r="B50" s="2" t="s">
        <v>13</v>
      </c>
      <c r="C50" s="2" t="s">
        <v>15</v>
      </c>
      <c r="D50" s="2" t="s">
        <v>46</v>
      </c>
      <c r="E50" s="2" t="s">
        <v>111</v>
      </c>
      <c r="F50" s="2"/>
      <c r="G50" s="16">
        <f>SUM(G51)</f>
        <v>4147.44823</v>
      </c>
    </row>
    <row r="51" spans="1:7" s="1" customFormat="1" ht="31.5">
      <c r="A51" s="23" t="s">
        <v>112</v>
      </c>
      <c r="B51" s="2" t="s">
        <v>13</v>
      </c>
      <c r="C51" s="2" t="s">
        <v>15</v>
      </c>
      <c r="D51" s="2" t="s">
        <v>46</v>
      </c>
      <c r="E51" s="2" t="s">
        <v>113</v>
      </c>
      <c r="F51" s="2"/>
      <c r="G51" s="16">
        <f>SUM(G52:G55)</f>
        <v>4147.44823</v>
      </c>
    </row>
    <row r="52" spans="1:7" s="1" customFormat="1" ht="31.5">
      <c r="A52" s="23" t="s">
        <v>35</v>
      </c>
      <c r="B52" s="2" t="s">
        <v>13</v>
      </c>
      <c r="C52" s="2" t="s">
        <v>15</v>
      </c>
      <c r="D52" s="2" t="s">
        <v>46</v>
      </c>
      <c r="E52" s="2" t="s">
        <v>113</v>
      </c>
      <c r="F52" s="2" t="s">
        <v>36</v>
      </c>
      <c r="G52" s="16">
        <v>1364.6</v>
      </c>
    </row>
    <row r="53" spans="1:7" s="1" customFormat="1" ht="31.5">
      <c r="A53" s="23" t="s">
        <v>26</v>
      </c>
      <c r="B53" s="2" t="s">
        <v>13</v>
      </c>
      <c r="C53" s="2" t="s">
        <v>15</v>
      </c>
      <c r="D53" s="2" t="s">
        <v>46</v>
      </c>
      <c r="E53" s="2" t="s">
        <v>113</v>
      </c>
      <c r="F53" s="2" t="s">
        <v>27</v>
      </c>
      <c r="G53" s="16">
        <f>2546+156.84823+40</f>
        <v>2742.84823</v>
      </c>
    </row>
    <row r="54" spans="1:7" s="1" customFormat="1" ht="31.5">
      <c r="A54" s="23" t="s">
        <v>114</v>
      </c>
      <c r="B54" s="2" t="s">
        <v>13</v>
      </c>
      <c r="C54" s="2" t="s">
        <v>15</v>
      </c>
      <c r="D54" s="2" t="s">
        <v>46</v>
      </c>
      <c r="E54" s="2" t="s">
        <v>113</v>
      </c>
      <c r="F54" s="2" t="s">
        <v>40</v>
      </c>
      <c r="G54" s="16">
        <v>5</v>
      </c>
    </row>
    <row r="55" spans="1:7" s="1" customFormat="1" ht="31.5">
      <c r="A55" s="23" t="s">
        <v>54</v>
      </c>
      <c r="B55" s="2" t="s">
        <v>13</v>
      </c>
      <c r="C55" s="2" t="s">
        <v>15</v>
      </c>
      <c r="D55" s="2" t="s">
        <v>46</v>
      </c>
      <c r="E55" s="2" t="s">
        <v>113</v>
      </c>
      <c r="F55" s="2" t="s">
        <v>42</v>
      </c>
      <c r="G55" s="16">
        <v>35</v>
      </c>
    </row>
    <row r="56" spans="1:7" s="1" customFormat="1" ht="63">
      <c r="A56" s="35" t="s">
        <v>89</v>
      </c>
      <c r="B56" s="2" t="s">
        <v>13</v>
      </c>
      <c r="C56" s="2" t="s">
        <v>15</v>
      </c>
      <c r="D56" s="2" t="s">
        <v>46</v>
      </c>
      <c r="E56" s="2" t="s">
        <v>90</v>
      </c>
      <c r="F56" s="2"/>
      <c r="G56" s="16">
        <f>SUM(G57)</f>
        <v>2920</v>
      </c>
    </row>
    <row r="57" spans="1:7" s="1" customFormat="1" ht="144" customHeight="1">
      <c r="A57" s="35" t="s">
        <v>438</v>
      </c>
      <c r="B57" s="2" t="s">
        <v>13</v>
      </c>
      <c r="C57" s="2" t="s">
        <v>15</v>
      </c>
      <c r="D57" s="2" t="s">
        <v>46</v>
      </c>
      <c r="E57" s="2" t="s">
        <v>91</v>
      </c>
      <c r="F57" s="2"/>
      <c r="G57" s="16">
        <f>SUM(G58:G59)</f>
        <v>2920</v>
      </c>
    </row>
    <row r="58" spans="1:7" s="1" customFormat="1" ht="15.75">
      <c r="A58" s="35" t="s">
        <v>22</v>
      </c>
      <c r="B58" s="2" t="s">
        <v>13</v>
      </c>
      <c r="C58" s="2" t="s">
        <v>15</v>
      </c>
      <c r="D58" s="2" t="s">
        <v>46</v>
      </c>
      <c r="E58" s="2" t="s">
        <v>91</v>
      </c>
      <c r="F58" s="2" t="s">
        <v>115</v>
      </c>
      <c r="G58" s="16">
        <f>2583-300</f>
        <v>2283</v>
      </c>
    </row>
    <row r="59" spans="1:7" s="1" customFormat="1" ht="31.5">
      <c r="A59" s="35" t="s">
        <v>26</v>
      </c>
      <c r="B59" s="2" t="s">
        <v>13</v>
      </c>
      <c r="C59" s="2" t="s">
        <v>15</v>
      </c>
      <c r="D59" s="2" t="s">
        <v>46</v>
      </c>
      <c r="E59" s="2" t="s">
        <v>91</v>
      </c>
      <c r="F59" s="2" t="s">
        <v>27</v>
      </c>
      <c r="G59" s="16">
        <f>737-100</f>
        <v>637</v>
      </c>
    </row>
    <row r="60" spans="1:7" s="1" customFormat="1" ht="96" customHeight="1">
      <c r="A60" s="35" t="s">
        <v>116</v>
      </c>
      <c r="B60" s="2" t="s">
        <v>13</v>
      </c>
      <c r="C60" s="2" t="s">
        <v>15</v>
      </c>
      <c r="D60" s="2" t="s">
        <v>46</v>
      </c>
      <c r="E60" s="2" t="s">
        <v>55</v>
      </c>
      <c r="F60" s="2"/>
      <c r="G60" s="16">
        <f>SUM(G61,G63,G65,G68)</f>
        <v>1008.3</v>
      </c>
    </row>
    <row r="61" spans="1:7" s="1" customFormat="1" ht="63">
      <c r="A61" s="23" t="s">
        <v>128</v>
      </c>
      <c r="B61" s="2" t="s">
        <v>13</v>
      </c>
      <c r="C61" s="2" t="s">
        <v>15</v>
      </c>
      <c r="D61" s="2" t="s">
        <v>46</v>
      </c>
      <c r="E61" s="2" t="s">
        <v>125</v>
      </c>
      <c r="F61" s="2"/>
      <c r="G61" s="16">
        <f>SUM(G62)</f>
        <v>442</v>
      </c>
    </row>
    <row r="62" spans="1:7" s="1" customFormat="1" ht="15.75">
      <c r="A62" s="35" t="s">
        <v>22</v>
      </c>
      <c r="B62" s="2" t="s">
        <v>13</v>
      </c>
      <c r="C62" s="2" t="s">
        <v>15</v>
      </c>
      <c r="D62" s="2" t="s">
        <v>46</v>
      </c>
      <c r="E62" s="2" t="s">
        <v>125</v>
      </c>
      <c r="F62" s="2" t="s">
        <v>23</v>
      </c>
      <c r="G62" s="16">
        <v>442</v>
      </c>
    </row>
    <row r="63" spans="1:7" s="1" customFormat="1" ht="80.25" customHeight="1">
      <c r="A63" s="23" t="s">
        <v>129</v>
      </c>
      <c r="B63" s="2" t="s">
        <v>13</v>
      </c>
      <c r="C63" s="2" t="s">
        <v>15</v>
      </c>
      <c r="D63" s="2" t="s">
        <v>46</v>
      </c>
      <c r="E63" s="2" t="s">
        <v>126</v>
      </c>
      <c r="F63" s="2"/>
      <c r="G63" s="16">
        <f>SUM(G64)</f>
        <v>291.2</v>
      </c>
    </row>
    <row r="64" spans="1:7" s="1" customFormat="1" ht="15.75">
      <c r="A64" s="35" t="s">
        <v>22</v>
      </c>
      <c r="B64" s="2" t="s">
        <v>13</v>
      </c>
      <c r="C64" s="2" t="s">
        <v>15</v>
      </c>
      <c r="D64" s="2" t="s">
        <v>46</v>
      </c>
      <c r="E64" s="2" t="s">
        <v>126</v>
      </c>
      <c r="F64" s="2" t="s">
        <v>23</v>
      </c>
      <c r="G64" s="16">
        <v>291.2</v>
      </c>
    </row>
    <row r="65" spans="1:7" s="1" customFormat="1" ht="63">
      <c r="A65" s="23" t="s">
        <v>130</v>
      </c>
      <c r="B65" s="2" t="s">
        <v>13</v>
      </c>
      <c r="C65" s="2" t="s">
        <v>15</v>
      </c>
      <c r="D65" s="2" t="s">
        <v>46</v>
      </c>
      <c r="E65" s="2" t="s">
        <v>127</v>
      </c>
      <c r="F65" s="2"/>
      <c r="G65" s="16">
        <f>SUM(G66:G67)</f>
        <v>266.09999999999997</v>
      </c>
    </row>
    <row r="66" spans="1:7" s="1" customFormat="1" ht="15.75">
      <c r="A66" s="35" t="s">
        <v>22</v>
      </c>
      <c r="B66" s="2" t="s">
        <v>13</v>
      </c>
      <c r="C66" s="2" t="s">
        <v>15</v>
      </c>
      <c r="D66" s="2" t="s">
        <v>46</v>
      </c>
      <c r="E66" s="2" t="s">
        <v>127</v>
      </c>
      <c r="F66" s="2" t="s">
        <v>23</v>
      </c>
      <c r="G66" s="16">
        <v>260.2</v>
      </c>
    </row>
    <row r="67" spans="1:7" s="1" customFormat="1" ht="31.5">
      <c r="A67" s="35" t="s">
        <v>26</v>
      </c>
      <c r="B67" s="2" t="s">
        <v>13</v>
      </c>
      <c r="C67" s="2" t="s">
        <v>15</v>
      </c>
      <c r="D67" s="2" t="s">
        <v>46</v>
      </c>
      <c r="E67" s="2" t="s">
        <v>127</v>
      </c>
      <c r="F67" s="2" t="s">
        <v>27</v>
      </c>
      <c r="G67" s="16">
        <v>5.9</v>
      </c>
    </row>
    <row r="68" spans="1:7" s="1" customFormat="1" ht="94.5">
      <c r="A68" s="23" t="s">
        <v>131</v>
      </c>
      <c r="B68" s="2" t="s">
        <v>13</v>
      </c>
      <c r="C68" s="2" t="s">
        <v>15</v>
      </c>
      <c r="D68" s="2" t="s">
        <v>46</v>
      </c>
      <c r="E68" s="2" t="s">
        <v>132</v>
      </c>
      <c r="F68" s="2"/>
      <c r="G68" s="16">
        <f>SUM(G69)</f>
        <v>9</v>
      </c>
    </row>
    <row r="69" spans="1:7" s="1" customFormat="1" ht="15.75">
      <c r="A69" s="35" t="s">
        <v>22</v>
      </c>
      <c r="B69" s="2" t="s">
        <v>13</v>
      </c>
      <c r="C69" s="2" t="s">
        <v>15</v>
      </c>
      <c r="D69" s="2" t="s">
        <v>46</v>
      </c>
      <c r="E69" s="2" t="s">
        <v>132</v>
      </c>
      <c r="F69" s="2" t="s">
        <v>23</v>
      </c>
      <c r="G69" s="16">
        <v>9</v>
      </c>
    </row>
    <row r="70" spans="1:7" s="1" customFormat="1" ht="16.5" customHeight="1">
      <c r="A70" s="23" t="s">
        <v>58</v>
      </c>
      <c r="B70" s="2" t="s">
        <v>13</v>
      </c>
      <c r="C70" s="2" t="s">
        <v>15</v>
      </c>
      <c r="D70" s="2" t="s">
        <v>46</v>
      </c>
      <c r="E70" s="2" t="s">
        <v>59</v>
      </c>
      <c r="F70" s="2"/>
      <c r="G70" s="16">
        <f>SUM(G71)</f>
        <v>219.81917</v>
      </c>
    </row>
    <row r="71" spans="1:7" s="1" customFormat="1" ht="31.5">
      <c r="A71" s="23" t="s">
        <v>135</v>
      </c>
      <c r="B71" s="2" t="s">
        <v>13</v>
      </c>
      <c r="C71" s="2" t="s">
        <v>15</v>
      </c>
      <c r="D71" s="2" t="s">
        <v>46</v>
      </c>
      <c r="E71" s="2" t="s">
        <v>133</v>
      </c>
      <c r="F71" s="2"/>
      <c r="G71" s="16">
        <f>SUM(G72,G74)</f>
        <v>219.81917</v>
      </c>
    </row>
    <row r="72" spans="1:7" s="1" customFormat="1" ht="48.75" customHeight="1">
      <c r="A72" s="23" t="s">
        <v>140</v>
      </c>
      <c r="B72" s="2" t="s">
        <v>13</v>
      </c>
      <c r="C72" s="2" t="s">
        <v>15</v>
      </c>
      <c r="D72" s="2" t="s">
        <v>46</v>
      </c>
      <c r="E72" s="2" t="s">
        <v>139</v>
      </c>
      <c r="F72" s="2"/>
      <c r="G72" s="16">
        <f>SUM(G73)</f>
        <v>147.81917</v>
      </c>
    </row>
    <row r="73" spans="1:7" s="1" customFormat="1" ht="31.5">
      <c r="A73" s="35" t="s">
        <v>26</v>
      </c>
      <c r="B73" s="2" t="s">
        <v>13</v>
      </c>
      <c r="C73" s="2" t="s">
        <v>15</v>
      </c>
      <c r="D73" s="2" t="s">
        <v>46</v>
      </c>
      <c r="E73" s="2" t="s">
        <v>139</v>
      </c>
      <c r="F73" s="2" t="s">
        <v>27</v>
      </c>
      <c r="G73" s="16">
        <f>72+40.52+35.29917</f>
        <v>147.81917</v>
      </c>
    </row>
    <row r="74" spans="1:7" s="1" customFormat="1" ht="47.25">
      <c r="A74" s="23" t="s">
        <v>138</v>
      </c>
      <c r="B74" s="2" t="s">
        <v>13</v>
      </c>
      <c r="C74" s="2" t="s">
        <v>15</v>
      </c>
      <c r="D74" s="2" t="s">
        <v>46</v>
      </c>
      <c r="E74" s="2" t="s">
        <v>137</v>
      </c>
      <c r="F74" s="2"/>
      <c r="G74" s="16">
        <f>SUM(G75)</f>
        <v>72</v>
      </c>
    </row>
    <row r="75" spans="1:7" s="1" customFormat="1" ht="31.5">
      <c r="A75" s="35" t="s">
        <v>26</v>
      </c>
      <c r="B75" s="2" t="s">
        <v>13</v>
      </c>
      <c r="C75" s="2" t="s">
        <v>15</v>
      </c>
      <c r="D75" s="2" t="s">
        <v>46</v>
      </c>
      <c r="E75" s="2" t="s">
        <v>137</v>
      </c>
      <c r="F75" s="2" t="s">
        <v>27</v>
      </c>
      <c r="G75" s="16">
        <v>72</v>
      </c>
    </row>
    <row r="76" spans="1:7" s="1" customFormat="1" ht="31.5">
      <c r="A76" s="23" t="s">
        <v>151</v>
      </c>
      <c r="B76" s="2" t="s">
        <v>13</v>
      </c>
      <c r="C76" s="2" t="s">
        <v>17</v>
      </c>
      <c r="D76" s="2"/>
      <c r="E76" s="2"/>
      <c r="F76" s="2"/>
      <c r="G76" s="16">
        <f>SUM(G77,G83,G89)</f>
        <v>1607.245</v>
      </c>
    </row>
    <row r="77" spans="1:7" s="1" customFormat="1" ht="15.75">
      <c r="A77" s="23" t="s">
        <v>152</v>
      </c>
      <c r="B77" s="2" t="s">
        <v>13</v>
      </c>
      <c r="C77" s="2" t="s">
        <v>17</v>
      </c>
      <c r="D77" s="2" t="s">
        <v>61</v>
      </c>
      <c r="E77" s="2"/>
      <c r="F77" s="2"/>
      <c r="G77" s="16">
        <f>SUM(G78)</f>
        <v>18</v>
      </c>
    </row>
    <row r="78" spans="1:7" s="1" customFormat="1" ht="16.5" customHeight="1">
      <c r="A78" s="23" t="s">
        <v>58</v>
      </c>
      <c r="B78" s="2" t="s">
        <v>13</v>
      </c>
      <c r="C78" s="2" t="s">
        <v>17</v>
      </c>
      <c r="D78" s="2" t="s">
        <v>61</v>
      </c>
      <c r="E78" s="2" t="s">
        <v>59</v>
      </c>
      <c r="F78" s="2"/>
      <c r="G78" s="16">
        <f>SUM(G79)</f>
        <v>18</v>
      </c>
    </row>
    <row r="79" spans="1:7" s="1" customFormat="1" ht="31.5">
      <c r="A79" s="23" t="s">
        <v>135</v>
      </c>
      <c r="B79" s="2" t="s">
        <v>13</v>
      </c>
      <c r="C79" s="2" t="s">
        <v>17</v>
      </c>
      <c r="D79" s="2" t="s">
        <v>61</v>
      </c>
      <c r="E79" s="2" t="s">
        <v>133</v>
      </c>
      <c r="F79" s="2"/>
      <c r="G79" s="16">
        <f>SUM(G80)</f>
        <v>18</v>
      </c>
    </row>
    <row r="80" spans="1:7" s="1" customFormat="1" ht="47.25">
      <c r="A80" s="23" t="s">
        <v>150</v>
      </c>
      <c r="B80" s="2" t="s">
        <v>13</v>
      </c>
      <c r="C80" s="2" t="s">
        <v>17</v>
      </c>
      <c r="D80" s="2" t="s">
        <v>61</v>
      </c>
      <c r="E80" s="2" t="s">
        <v>141</v>
      </c>
      <c r="F80" s="2"/>
      <c r="G80" s="16">
        <f>SUM(G81:G82)</f>
        <v>18</v>
      </c>
    </row>
    <row r="81" spans="1:7" s="1" customFormat="1" ht="31.5">
      <c r="A81" s="23" t="s">
        <v>35</v>
      </c>
      <c r="B81" s="2" t="s">
        <v>13</v>
      </c>
      <c r="C81" s="2" t="s">
        <v>17</v>
      </c>
      <c r="D81" s="2" t="s">
        <v>61</v>
      </c>
      <c r="E81" s="2" t="s">
        <v>141</v>
      </c>
      <c r="F81" s="2" t="s">
        <v>36</v>
      </c>
      <c r="G81" s="16">
        <f>18-11.5</f>
        <v>6.5</v>
      </c>
    </row>
    <row r="82" spans="1:7" s="1" customFormat="1" ht="15.75">
      <c r="A82" s="23" t="s">
        <v>373</v>
      </c>
      <c r="B82" s="2" t="s">
        <v>13</v>
      </c>
      <c r="C82" s="2" t="s">
        <v>17</v>
      </c>
      <c r="D82" s="2" t="s">
        <v>61</v>
      </c>
      <c r="E82" s="2" t="s">
        <v>141</v>
      </c>
      <c r="F82" s="2" t="s">
        <v>372</v>
      </c>
      <c r="G82" s="16">
        <v>11.5</v>
      </c>
    </row>
    <row r="83" spans="1:7" s="1" customFormat="1" ht="15.75">
      <c r="A83" s="23" t="s">
        <v>142</v>
      </c>
      <c r="B83" s="2" t="s">
        <v>13</v>
      </c>
      <c r="C83" s="2" t="s">
        <v>17</v>
      </c>
      <c r="D83" s="2" t="s">
        <v>31</v>
      </c>
      <c r="E83" s="2"/>
      <c r="F83" s="2"/>
      <c r="G83" s="16">
        <f>SUM(G84)</f>
        <v>587.8</v>
      </c>
    </row>
    <row r="84" spans="1:7" s="1" customFormat="1" ht="31.5">
      <c r="A84" s="23" t="s">
        <v>63</v>
      </c>
      <c r="B84" s="2" t="s">
        <v>13</v>
      </c>
      <c r="C84" s="2" t="s">
        <v>17</v>
      </c>
      <c r="D84" s="2" t="s">
        <v>31</v>
      </c>
      <c r="E84" s="2" t="s">
        <v>64</v>
      </c>
      <c r="F84" s="2"/>
      <c r="G84" s="16">
        <f>SUM(G85)</f>
        <v>587.8</v>
      </c>
    </row>
    <row r="85" spans="1:7" s="1" customFormat="1" ht="31.5">
      <c r="A85" s="23" t="s">
        <v>143</v>
      </c>
      <c r="B85" s="2" t="s">
        <v>13</v>
      </c>
      <c r="C85" s="2" t="s">
        <v>17</v>
      </c>
      <c r="D85" s="2" t="s">
        <v>31</v>
      </c>
      <c r="E85" s="2" t="s">
        <v>144</v>
      </c>
      <c r="F85" s="2"/>
      <c r="G85" s="16">
        <f>SUM(G86:G88)</f>
        <v>587.8</v>
      </c>
    </row>
    <row r="86" spans="1:7" s="1" customFormat="1" ht="15.75">
      <c r="A86" s="23" t="s">
        <v>22</v>
      </c>
      <c r="B86" s="2" t="s">
        <v>13</v>
      </c>
      <c r="C86" s="2" t="s">
        <v>17</v>
      </c>
      <c r="D86" s="2" t="s">
        <v>31</v>
      </c>
      <c r="E86" s="2" t="s">
        <v>144</v>
      </c>
      <c r="F86" s="2" t="s">
        <v>23</v>
      </c>
      <c r="G86" s="16">
        <f>551+30.48006</f>
        <v>581.48006</v>
      </c>
    </row>
    <row r="87" spans="1:7" s="1" customFormat="1" ht="31.5">
      <c r="A87" s="23" t="s">
        <v>35</v>
      </c>
      <c r="B87" s="2" t="s">
        <v>13</v>
      </c>
      <c r="C87" s="2" t="s">
        <v>17</v>
      </c>
      <c r="D87" s="2" t="s">
        <v>31</v>
      </c>
      <c r="E87" s="2" t="s">
        <v>144</v>
      </c>
      <c r="F87" s="2" t="s">
        <v>36</v>
      </c>
      <c r="G87" s="16">
        <f>14.8-11.9</f>
        <v>2.9000000000000004</v>
      </c>
    </row>
    <row r="88" spans="1:7" s="1" customFormat="1" ht="31.5">
      <c r="A88" s="23" t="s">
        <v>26</v>
      </c>
      <c r="B88" s="2" t="s">
        <v>13</v>
      </c>
      <c r="C88" s="2" t="s">
        <v>17</v>
      </c>
      <c r="D88" s="2" t="s">
        <v>31</v>
      </c>
      <c r="E88" s="2" t="s">
        <v>144</v>
      </c>
      <c r="F88" s="2" t="s">
        <v>27</v>
      </c>
      <c r="G88" s="16">
        <f>22-18.58006</f>
        <v>3.4199400000000004</v>
      </c>
    </row>
    <row r="89" spans="1:7" s="1" customFormat="1" ht="47.25">
      <c r="A89" s="23" t="s">
        <v>145</v>
      </c>
      <c r="B89" s="2" t="s">
        <v>13</v>
      </c>
      <c r="C89" s="2" t="s">
        <v>17</v>
      </c>
      <c r="D89" s="2" t="s">
        <v>71</v>
      </c>
      <c r="E89" s="2"/>
      <c r="F89" s="2"/>
      <c r="G89" s="16">
        <f>SUM(G93,G90,G97)</f>
        <v>1001.445</v>
      </c>
    </row>
    <row r="90" spans="1:7" s="1" customFormat="1" ht="31.5">
      <c r="A90" s="23" t="s">
        <v>472</v>
      </c>
      <c r="B90" s="2" t="s">
        <v>13</v>
      </c>
      <c r="C90" s="2" t="s">
        <v>17</v>
      </c>
      <c r="D90" s="2" t="s">
        <v>71</v>
      </c>
      <c r="E90" s="2" t="s">
        <v>470</v>
      </c>
      <c r="F90" s="2"/>
      <c r="G90" s="16">
        <f>SUM(G91)</f>
        <v>72.245</v>
      </c>
    </row>
    <row r="91" spans="1:7" s="1" customFormat="1" ht="47.25">
      <c r="A91" s="23" t="s">
        <v>473</v>
      </c>
      <c r="B91" s="2" t="s">
        <v>13</v>
      </c>
      <c r="C91" s="2" t="s">
        <v>17</v>
      </c>
      <c r="D91" s="2" t="s">
        <v>71</v>
      </c>
      <c r="E91" s="2" t="s">
        <v>471</v>
      </c>
      <c r="F91" s="2"/>
      <c r="G91" s="16">
        <f>SUM(G92)</f>
        <v>72.245</v>
      </c>
    </row>
    <row r="92" spans="1:7" s="1" customFormat="1" ht="15.75">
      <c r="A92" s="23" t="s">
        <v>22</v>
      </c>
      <c r="B92" s="2" t="s">
        <v>13</v>
      </c>
      <c r="C92" s="2" t="s">
        <v>17</v>
      </c>
      <c r="D92" s="2" t="s">
        <v>71</v>
      </c>
      <c r="E92" s="2" t="s">
        <v>471</v>
      </c>
      <c r="F92" s="2" t="s">
        <v>115</v>
      </c>
      <c r="G92" s="16">
        <v>72.245</v>
      </c>
    </row>
    <row r="93" spans="1:7" s="1" customFormat="1" ht="47.25">
      <c r="A93" s="23" t="s">
        <v>146</v>
      </c>
      <c r="B93" s="2" t="s">
        <v>13</v>
      </c>
      <c r="C93" s="2" t="s">
        <v>17</v>
      </c>
      <c r="D93" s="2" t="s">
        <v>71</v>
      </c>
      <c r="E93" s="2" t="s">
        <v>147</v>
      </c>
      <c r="F93" s="2"/>
      <c r="G93" s="16">
        <f>SUM(G94)</f>
        <v>150</v>
      </c>
    </row>
    <row r="94" spans="1:7" s="1" customFormat="1" ht="47.25">
      <c r="A94" s="23" t="s">
        <v>148</v>
      </c>
      <c r="B94" s="2" t="s">
        <v>13</v>
      </c>
      <c r="C94" s="2" t="s">
        <v>17</v>
      </c>
      <c r="D94" s="2" t="s">
        <v>71</v>
      </c>
      <c r="E94" s="2" t="s">
        <v>149</v>
      </c>
      <c r="F94" s="2"/>
      <c r="G94" s="16">
        <f>SUM(G95:G96)</f>
        <v>150</v>
      </c>
    </row>
    <row r="95" spans="1:7" s="1" customFormat="1" ht="31.5">
      <c r="A95" s="23" t="s">
        <v>35</v>
      </c>
      <c r="B95" s="2" t="s">
        <v>13</v>
      </c>
      <c r="C95" s="2" t="s">
        <v>17</v>
      </c>
      <c r="D95" s="2" t="s">
        <v>71</v>
      </c>
      <c r="E95" s="2" t="s">
        <v>149</v>
      </c>
      <c r="F95" s="2" t="s">
        <v>36</v>
      </c>
      <c r="G95" s="16">
        <f>96.71+50</f>
        <v>146.70999999999998</v>
      </c>
    </row>
    <row r="96" spans="1:7" s="1" customFormat="1" ht="31.5">
      <c r="A96" s="23" t="s">
        <v>26</v>
      </c>
      <c r="B96" s="2" t="s">
        <v>13</v>
      </c>
      <c r="C96" s="2" t="s">
        <v>17</v>
      </c>
      <c r="D96" s="2" t="s">
        <v>71</v>
      </c>
      <c r="E96" s="2" t="s">
        <v>149</v>
      </c>
      <c r="F96" s="2" t="s">
        <v>27</v>
      </c>
      <c r="G96" s="16">
        <f>100-96.71</f>
        <v>3.2900000000000063</v>
      </c>
    </row>
    <row r="97" spans="1:7" s="1" customFormat="1" ht="63">
      <c r="A97" s="35" t="s">
        <v>89</v>
      </c>
      <c r="B97" s="2" t="s">
        <v>13</v>
      </c>
      <c r="C97" s="2" t="s">
        <v>17</v>
      </c>
      <c r="D97" s="2" t="s">
        <v>71</v>
      </c>
      <c r="E97" s="2" t="s">
        <v>90</v>
      </c>
      <c r="F97" s="2"/>
      <c r="G97" s="16">
        <f>SUM(G98)</f>
        <v>779.2</v>
      </c>
    </row>
    <row r="98" spans="1:7" s="1" customFormat="1" ht="143.25" customHeight="1">
      <c r="A98" s="35" t="s">
        <v>438</v>
      </c>
      <c r="B98" s="2" t="s">
        <v>13</v>
      </c>
      <c r="C98" s="2" t="s">
        <v>17</v>
      </c>
      <c r="D98" s="2" t="s">
        <v>71</v>
      </c>
      <c r="E98" s="2" t="s">
        <v>91</v>
      </c>
      <c r="F98" s="2"/>
      <c r="G98" s="16">
        <f>SUM(G99)</f>
        <v>779.2</v>
      </c>
    </row>
    <row r="99" spans="1:7" s="1" customFormat="1" ht="15.75">
      <c r="A99" s="23" t="s">
        <v>22</v>
      </c>
      <c r="B99" s="2" t="s">
        <v>13</v>
      </c>
      <c r="C99" s="2" t="s">
        <v>17</v>
      </c>
      <c r="D99" s="2" t="s">
        <v>71</v>
      </c>
      <c r="E99" s="2" t="s">
        <v>91</v>
      </c>
      <c r="F99" s="2" t="s">
        <v>115</v>
      </c>
      <c r="G99" s="16">
        <f>654.2+50+75</f>
        <v>779.2</v>
      </c>
    </row>
    <row r="100" spans="1:7" s="1" customFormat="1" ht="15.75">
      <c r="A100" s="23" t="s">
        <v>92</v>
      </c>
      <c r="B100" s="2" t="s">
        <v>13</v>
      </c>
      <c r="C100" s="2" t="s">
        <v>31</v>
      </c>
      <c r="D100" s="2"/>
      <c r="E100" s="2"/>
      <c r="F100" s="2"/>
      <c r="G100" s="16">
        <f>SUM(G101,G105)</f>
        <v>897.585</v>
      </c>
    </row>
    <row r="101" spans="1:7" s="1" customFormat="1" ht="15.75">
      <c r="A101" s="23" t="s">
        <v>463</v>
      </c>
      <c r="B101" s="2" t="s">
        <v>13</v>
      </c>
      <c r="C101" s="2" t="s">
        <v>31</v>
      </c>
      <c r="D101" s="2" t="s">
        <v>202</v>
      </c>
      <c r="E101" s="2"/>
      <c r="F101" s="2"/>
      <c r="G101" s="16">
        <f>SUM(G102)</f>
        <v>30</v>
      </c>
    </row>
    <row r="102" spans="1:7" s="1" customFormat="1" ht="15.75">
      <c r="A102" s="23" t="s">
        <v>464</v>
      </c>
      <c r="B102" s="2" t="s">
        <v>13</v>
      </c>
      <c r="C102" s="2" t="s">
        <v>31</v>
      </c>
      <c r="D102" s="2" t="s">
        <v>202</v>
      </c>
      <c r="E102" s="2" t="s">
        <v>460</v>
      </c>
      <c r="F102" s="2"/>
      <c r="G102" s="16">
        <f>SUM(G103)</f>
        <v>30</v>
      </c>
    </row>
    <row r="103" spans="1:7" s="1" customFormat="1" ht="31.5">
      <c r="A103" s="23" t="s">
        <v>465</v>
      </c>
      <c r="B103" s="2" t="s">
        <v>13</v>
      </c>
      <c r="C103" s="2" t="s">
        <v>31</v>
      </c>
      <c r="D103" s="2" t="s">
        <v>202</v>
      </c>
      <c r="E103" s="2" t="s">
        <v>461</v>
      </c>
      <c r="F103" s="2"/>
      <c r="G103" s="16">
        <f>SUM(G104)</f>
        <v>30</v>
      </c>
    </row>
    <row r="104" spans="1:7" s="1" customFormat="1" ht="47.25">
      <c r="A104" s="23" t="s">
        <v>158</v>
      </c>
      <c r="B104" s="2" t="s">
        <v>13</v>
      </c>
      <c r="C104" s="2" t="s">
        <v>31</v>
      </c>
      <c r="D104" s="2" t="s">
        <v>202</v>
      </c>
      <c r="E104" s="2" t="s">
        <v>461</v>
      </c>
      <c r="F104" s="2" t="s">
        <v>136</v>
      </c>
      <c r="G104" s="16">
        <v>30</v>
      </c>
    </row>
    <row r="105" spans="1:7" s="1" customFormat="1" ht="16.5" customHeight="1">
      <c r="A105" s="23" t="s">
        <v>154</v>
      </c>
      <c r="B105" s="2" t="s">
        <v>13</v>
      </c>
      <c r="C105" s="2" t="s">
        <v>31</v>
      </c>
      <c r="D105" s="2" t="s">
        <v>153</v>
      </c>
      <c r="E105" s="2"/>
      <c r="F105" s="2"/>
      <c r="G105" s="16">
        <f>SUM(G106,G109)</f>
        <v>867.585</v>
      </c>
    </row>
    <row r="106" spans="1:7" s="1" customFormat="1" ht="16.5" customHeight="1">
      <c r="A106" s="23" t="s">
        <v>366</v>
      </c>
      <c r="B106" s="2" t="s">
        <v>13</v>
      </c>
      <c r="C106" s="2" t="s">
        <v>31</v>
      </c>
      <c r="D106" s="2" t="s">
        <v>153</v>
      </c>
      <c r="E106" s="2" t="s">
        <v>367</v>
      </c>
      <c r="F106" s="2"/>
      <c r="G106" s="16">
        <f>SUM(G107)</f>
        <v>517.5</v>
      </c>
    </row>
    <row r="107" spans="1:7" s="1" customFormat="1" ht="47.25">
      <c r="A107" s="23" t="s">
        <v>368</v>
      </c>
      <c r="B107" s="2" t="s">
        <v>13</v>
      </c>
      <c r="C107" s="2" t="s">
        <v>31</v>
      </c>
      <c r="D107" s="2" t="s">
        <v>153</v>
      </c>
      <c r="E107" s="2" t="s">
        <v>369</v>
      </c>
      <c r="F107" s="2"/>
      <c r="G107" s="16">
        <f>SUM(G108)</f>
        <v>517.5</v>
      </c>
    </row>
    <row r="108" spans="1:7" s="1" customFormat="1" ht="47.25">
      <c r="A108" s="23" t="s">
        <v>158</v>
      </c>
      <c r="B108" s="2" t="s">
        <v>13</v>
      </c>
      <c r="C108" s="2" t="s">
        <v>31</v>
      </c>
      <c r="D108" s="2" t="s">
        <v>153</v>
      </c>
      <c r="E108" s="2" t="s">
        <v>369</v>
      </c>
      <c r="F108" s="2" t="s">
        <v>136</v>
      </c>
      <c r="G108" s="16">
        <f>37.5+2500-2020</f>
        <v>517.5</v>
      </c>
    </row>
    <row r="109" spans="1:7" s="1" customFormat="1" ht="15.75" customHeight="1">
      <c r="A109" s="23" t="s">
        <v>58</v>
      </c>
      <c r="B109" s="2" t="s">
        <v>13</v>
      </c>
      <c r="C109" s="2" t="s">
        <v>31</v>
      </c>
      <c r="D109" s="2" t="s">
        <v>153</v>
      </c>
      <c r="E109" s="2" t="s">
        <v>59</v>
      </c>
      <c r="F109" s="2"/>
      <c r="G109" s="16">
        <f>SUM(G110)</f>
        <v>350.085</v>
      </c>
    </row>
    <row r="110" spans="1:7" s="1" customFormat="1" ht="31.5">
      <c r="A110" s="23" t="s">
        <v>135</v>
      </c>
      <c r="B110" s="2" t="s">
        <v>13</v>
      </c>
      <c r="C110" s="2" t="s">
        <v>31</v>
      </c>
      <c r="D110" s="2" t="s">
        <v>153</v>
      </c>
      <c r="E110" s="2" t="s">
        <v>133</v>
      </c>
      <c r="F110" s="2"/>
      <c r="G110" s="16">
        <f>SUM(G111,G115)</f>
        <v>350.085</v>
      </c>
    </row>
    <row r="111" spans="1:7" s="1" customFormat="1" ht="48" customHeight="1">
      <c r="A111" s="23" t="s">
        <v>155</v>
      </c>
      <c r="B111" s="2" t="s">
        <v>13</v>
      </c>
      <c r="C111" s="2" t="s">
        <v>31</v>
      </c>
      <c r="D111" s="2" t="s">
        <v>153</v>
      </c>
      <c r="E111" s="2" t="s">
        <v>134</v>
      </c>
      <c r="F111" s="2"/>
      <c r="G111" s="16">
        <f>SUM(G112:G114)</f>
        <v>338.185</v>
      </c>
    </row>
    <row r="112" spans="1:7" s="1" customFormat="1" ht="31.5">
      <c r="A112" s="23" t="s">
        <v>26</v>
      </c>
      <c r="B112" s="2" t="s">
        <v>13</v>
      </c>
      <c r="C112" s="2" t="s">
        <v>31</v>
      </c>
      <c r="D112" s="2" t="s">
        <v>153</v>
      </c>
      <c r="E112" s="2" t="s">
        <v>134</v>
      </c>
      <c r="F112" s="2" t="s">
        <v>27</v>
      </c>
      <c r="G112" s="16">
        <v>18.185</v>
      </c>
    </row>
    <row r="113" spans="1:7" s="1" customFormat="1" ht="31.5">
      <c r="A113" s="23" t="s">
        <v>156</v>
      </c>
      <c r="B113" s="2" t="s">
        <v>13</v>
      </c>
      <c r="C113" s="2" t="s">
        <v>31</v>
      </c>
      <c r="D113" s="2" t="s">
        <v>153</v>
      </c>
      <c r="E113" s="2" t="s">
        <v>134</v>
      </c>
      <c r="F113" s="2" t="s">
        <v>157</v>
      </c>
      <c r="G113" s="16">
        <v>200</v>
      </c>
    </row>
    <row r="114" spans="1:7" s="1" customFormat="1" ht="47.25">
      <c r="A114" s="23" t="s">
        <v>158</v>
      </c>
      <c r="B114" s="2" t="s">
        <v>13</v>
      </c>
      <c r="C114" s="2" t="s">
        <v>31</v>
      </c>
      <c r="D114" s="2" t="s">
        <v>153</v>
      </c>
      <c r="E114" s="2" t="s">
        <v>134</v>
      </c>
      <c r="F114" s="2" t="s">
        <v>136</v>
      </c>
      <c r="G114" s="16">
        <v>120</v>
      </c>
    </row>
    <row r="115" spans="1:7" s="1" customFormat="1" ht="63">
      <c r="A115" s="23" t="s">
        <v>434</v>
      </c>
      <c r="B115" s="2" t="s">
        <v>13</v>
      </c>
      <c r="C115" s="2" t="s">
        <v>31</v>
      </c>
      <c r="D115" s="2" t="s">
        <v>153</v>
      </c>
      <c r="E115" s="2" t="s">
        <v>433</v>
      </c>
      <c r="F115" s="2"/>
      <c r="G115" s="16">
        <f>SUM(G116)</f>
        <v>11.9</v>
      </c>
    </row>
    <row r="116" spans="1:7" s="1" customFormat="1" ht="31.5">
      <c r="A116" s="23" t="s">
        <v>26</v>
      </c>
      <c r="B116" s="2" t="s">
        <v>13</v>
      </c>
      <c r="C116" s="2" t="s">
        <v>31</v>
      </c>
      <c r="D116" s="2" t="s">
        <v>153</v>
      </c>
      <c r="E116" s="2" t="s">
        <v>433</v>
      </c>
      <c r="F116" s="2" t="s">
        <v>27</v>
      </c>
      <c r="G116" s="16">
        <v>11.9</v>
      </c>
    </row>
    <row r="117" spans="1:7" s="1" customFormat="1" ht="15.75">
      <c r="A117" s="23" t="s">
        <v>337</v>
      </c>
      <c r="B117" s="2" t="s">
        <v>13</v>
      </c>
      <c r="C117" s="2" t="s">
        <v>104</v>
      </c>
      <c r="D117" s="2"/>
      <c r="E117" s="2"/>
      <c r="F117" s="2"/>
      <c r="G117" s="16">
        <f>SUM(G118,G122)</f>
        <v>2618.974</v>
      </c>
    </row>
    <row r="118" spans="1:7" s="1" customFormat="1" ht="15.75">
      <c r="A118" s="23" t="s">
        <v>439</v>
      </c>
      <c r="B118" s="2" t="s">
        <v>13</v>
      </c>
      <c r="C118" s="2" t="s">
        <v>104</v>
      </c>
      <c r="D118" s="2" t="s">
        <v>17</v>
      </c>
      <c r="E118" s="2"/>
      <c r="F118" s="2"/>
      <c r="G118" s="16">
        <f>SUM(G119)</f>
        <v>34</v>
      </c>
    </row>
    <row r="119" spans="1:7" s="1" customFormat="1" ht="15.75">
      <c r="A119" s="23" t="s">
        <v>439</v>
      </c>
      <c r="B119" s="2" t="s">
        <v>13</v>
      </c>
      <c r="C119" s="2" t="s">
        <v>104</v>
      </c>
      <c r="D119" s="2" t="s">
        <v>17</v>
      </c>
      <c r="E119" s="2" t="s">
        <v>467</v>
      </c>
      <c r="F119" s="2"/>
      <c r="G119" s="16">
        <f>SUM(G120)</f>
        <v>34</v>
      </c>
    </row>
    <row r="120" spans="1:7" s="1" customFormat="1" ht="31.5">
      <c r="A120" s="23" t="s">
        <v>468</v>
      </c>
      <c r="B120" s="2" t="s">
        <v>13</v>
      </c>
      <c r="C120" s="2" t="s">
        <v>104</v>
      </c>
      <c r="D120" s="2" t="s">
        <v>17</v>
      </c>
      <c r="E120" s="2" t="s">
        <v>466</v>
      </c>
      <c r="F120" s="2"/>
      <c r="G120" s="16">
        <f>SUM(G121)</f>
        <v>34</v>
      </c>
    </row>
    <row r="121" spans="1:7" s="1" customFormat="1" ht="15.75">
      <c r="A121" s="38" t="s">
        <v>373</v>
      </c>
      <c r="B121" s="2" t="s">
        <v>13</v>
      </c>
      <c r="C121" s="2" t="s">
        <v>104</v>
      </c>
      <c r="D121" s="2" t="s">
        <v>17</v>
      </c>
      <c r="E121" s="2" t="s">
        <v>466</v>
      </c>
      <c r="F121" s="2" t="s">
        <v>372</v>
      </c>
      <c r="G121" s="16">
        <v>34</v>
      </c>
    </row>
    <row r="122" spans="1:7" s="1" customFormat="1" ht="31.5">
      <c r="A122" s="23" t="s">
        <v>338</v>
      </c>
      <c r="B122" s="2" t="s">
        <v>13</v>
      </c>
      <c r="C122" s="2" t="s">
        <v>104</v>
      </c>
      <c r="D122" s="2" t="s">
        <v>104</v>
      </c>
      <c r="E122" s="2"/>
      <c r="F122" s="2"/>
      <c r="G122" s="16">
        <f>SUM(G123,G127,G133)</f>
        <v>2584.974</v>
      </c>
    </row>
    <row r="123" spans="1:7" s="1" customFormat="1" ht="96.75" customHeight="1">
      <c r="A123" s="35" t="s">
        <v>116</v>
      </c>
      <c r="B123" s="2" t="s">
        <v>13</v>
      </c>
      <c r="C123" s="2" t="s">
        <v>104</v>
      </c>
      <c r="D123" s="2" t="s">
        <v>104</v>
      </c>
      <c r="E123" s="2" t="s">
        <v>55</v>
      </c>
      <c r="F123" s="2"/>
      <c r="G123" s="16">
        <f>SUM(G124)</f>
        <v>9</v>
      </c>
    </row>
    <row r="124" spans="1:7" s="1" customFormat="1" ht="47.25">
      <c r="A124" s="23" t="s">
        <v>347</v>
      </c>
      <c r="B124" s="2" t="s">
        <v>13</v>
      </c>
      <c r="C124" s="2" t="s">
        <v>104</v>
      </c>
      <c r="D124" s="2" t="s">
        <v>104</v>
      </c>
      <c r="E124" s="2" t="s">
        <v>344</v>
      </c>
      <c r="F124" s="2"/>
      <c r="G124" s="16">
        <f>SUM(G125:G126)</f>
        <v>9</v>
      </c>
    </row>
    <row r="125" spans="1:7" s="1" customFormat="1" ht="15.75">
      <c r="A125" s="23" t="s">
        <v>22</v>
      </c>
      <c r="B125" s="2" t="s">
        <v>13</v>
      </c>
      <c r="C125" s="2" t="s">
        <v>104</v>
      </c>
      <c r="D125" s="2" t="s">
        <v>104</v>
      </c>
      <c r="E125" s="2" t="s">
        <v>344</v>
      </c>
      <c r="F125" s="2" t="s">
        <v>23</v>
      </c>
      <c r="G125" s="16">
        <v>6</v>
      </c>
    </row>
    <row r="126" spans="1:7" s="1" customFormat="1" ht="31.5">
      <c r="A126" s="23" t="s">
        <v>26</v>
      </c>
      <c r="B126" s="2" t="s">
        <v>13</v>
      </c>
      <c r="C126" s="2" t="s">
        <v>104</v>
      </c>
      <c r="D126" s="2" t="s">
        <v>104</v>
      </c>
      <c r="E126" s="2" t="s">
        <v>344</v>
      </c>
      <c r="F126" s="2" t="s">
        <v>27</v>
      </c>
      <c r="G126" s="16">
        <f>18.7-9.7-6</f>
        <v>3</v>
      </c>
    </row>
    <row r="127" spans="1:7" s="1" customFormat="1" ht="15.75">
      <c r="A127" s="23" t="s">
        <v>72</v>
      </c>
      <c r="B127" s="2" t="s">
        <v>13</v>
      </c>
      <c r="C127" s="2" t="s">
        <v>104</v>
      </c>
      <c r="D127" s="2" t="s">
        <v>104</v>
      </c>
      <c r="E127" s="2" t="s">
        <v>73</v>
      </c>
      <c r="F127" s="2"/>
      <c r="G127" s="16">
        <f>SUM(G128)</f>
        <v>2290.998</v>
      </c>
    </row>
    <row r="128" spans="1:7" s="1" customFormat="1" ht="47.25">
      <c r="A128" s="23" t="s">
        <v>401</v>
      </c>
      <c r="B128" s="2" t="s">
        <v>13</v>
      </c>
      <c r="C128" s="2" t="s">
        <v>104</v>
      </c>
      <c r="D128" s="2" t="s">
        <v>104</v>
      </c>
      <c r="E128" s="2" t="s">
        <v>398</v>
      </c>
      <c r="F128" s="2"/>
      <c r="G128" s="16">
        <f>SUM(G129,G131)</f>
        <v>2290.998</v>
      </c>
    </row>
    <row r="129" spans="1:7" s="1" customFormat="1" ht="48.75" customHeight="1">
      <c r="A129" s="23" t="s">
        <v>402</v>
      </c>
      <c r="B129" s="2" t="s">
        <v>13</v>
      </c>
      <c r="C129" s="2" t="s">
        <v>104</v>
      </c>
      <c r="D129" s="2" t="s">
        <v>104</v>
      </c>
      <c r="E129" s="2" t="s">
        <v>399</v>
      </c>
      <c r="F129" s="2"/>
      <c r="G129" s="16">
        <f>SUM(G130)</f>
        <v>2290.998</v>
      </c>
    </row>
    <row r="130" spans="1:7" s="1" customFormat="1" ht="31.5">
      <c r="A130" s="23" t="s">
        <v>26</v>
      </c>
      <c r="B130" s="2" t="s">
        <v>13</v>
      </c>
      <c r="C130" s="2" t="s">
        <v>104</v>
      </c>
      <c r="D130" s="2" t="s">
        <v>104</v>
      </c>
      <c r="E130" s="2" t="s">
        <v>399</v>
      </c>
      <c r="F130" s="2" t="s">
        <v>27</v>
      </c>
      <c r="G130" s="16">
        <f>2120+170.998</f>
        <v>2290.998</v>
      </c>
    </row>
    <row r="131" spans="1:7" s="1" customFormat="1" ht="95.25" customHeight="1" hidden="1">
      <c r="A131" s="23" t="s">
        <v>403</v>
      </c>
      <c r="B131" s="2" t="s">
        <v>13</v>
      </c>
      <c r="C131" s="2" t="s">
        <v>104</v>
      </c>
      <c r="D131" s="2" t="s">
        <v>104</v>
      </c>
      <c r="E131" s="2" t="s">
        <v>400</v>
      </c>
      <c r="F131" s="2"/>
      <c r="G131" s="16">
        <f>SUM(G132)</f>
        <v>0</v>
      </c>
    </row>
    <row r="132" spans="1:7" s="1" customFormat="1" ht="31.5" hidden="1">
      <c r="A132" s="23" t="s">
        <v>26</v>
      </c>
      <c r="B132" s="2" t="s">
        <v>13</v>
      </c>
      <c r="C132" s="2" t="s">
        <v>104</v>
      </c>
      <c r="D132" s="2" t="s">
        <v>104</v>
      </c>
      <c r="E132" s="2" t="s">
        <v>400</v>
      </c>
      <c r="F132" s="2" t="s">
        <v>27</v>
      </c>
      <c r="G132" s="16"/>
    </row>
    <row r="133" spans="1:7" s="1" customFormat="1" ht="15.75" customHeight="1">
      <c r="A133" s="23" t="s">
        <v>58</v>
      </c>
      <c r="B133" s="2" t="s">
        <v>13</v>
      </c>
      <c r="C133" s="2" t="s">
        <v>104</v>
      </c>
      <c r="D133" s="2" t="s">
        <v>104</v>
      </c>
      <c r="E133" s="2" t="s">
        <v>59</v>
      </c>
      <c r="F133" s="2"/>
      <c r="G133" s="16">
        <f>SUM(G134)</f>
        <v>284.976</v>
      </c>
    </row>
    <row r="134" spans="1:7" s="1" customFormat="1" ht="31.5">
      <c r="A134" s="23" t="s">
        <v>135</v>
      </c>
      <c r="B134" s="2" t="s">
        <v>13</v>
      </c>
      <c r="C134" s="2" t="s">
        <v>104</v>
      </c>
      <c r="D134" s="2" t="s">
        <v>104</v>
      </c>
      <c r="E134" s="2" t="s">
        <v>133</v>
      </c>
      <c r="F134" s="2"/>
      <c r="G134" s="16">
        <f>SUM(G135)</f>
        <v>284.976</v>
      </c>
    </row>
    <row r="135" spans="1:7" s="1" customFormat="1" ht="47.25">
      <c r="A135" s="35" t="s">
        <v>379</v>
      </c>
      <c r="B135" s="2" t="s">
        <v>13</v>
      </c>
      <c r="C135" s="2" t="s">
        <v>104</v>
      </c>
      <c r="D135" s="2" t="s">
        <v>104</v>
      </c>
      <c r="E135" s="2" t="s">
        <v>378</v>
      </c>
      <c r="F135" s="2"/>
      <c r="G135" s="16">
        <f>SUM(G136)</f>
        <v>284.976</v>
      </c>
    </row>
    <row r="136" spans="1:7" s="1" customFormat="1" ht="31.5">
      <c r="A136" s="23" t="s">
        <v>26</v>
      </c>
      <c r="B136" s="2" t="s">
        <v>13</v>
      </c>
      <c r="C136" s="2" t="s">
        <v>104</v>
      </c>
      <c r="D136" s="2" t="s">
        <v>104</v>
      </c>
      <c r="E136" s="2" t="s">
        <v>378</v>
      </c>
      <c r="F136" s="2" t="s">
        <v>27</v>
      </c>
      <c r="G136" s="16">
        <f>938.976-654</f>
        <v>284.976</v>
      </c>
    </row>
    <row r="137" spans="1:7" s="1" customFormat="1" ht="15.75">
      <c r="A137" s="23" t="s">
        <v>159</v>
      </c>
      <c r="B137" s="2" t="s">
        <v>13</v>
      </c>
      <c r="C137" s="2" t="s">
        <v>117</v>
      </c>
      <c r="D137" s="2"/>
      <c r="E137" s="2"/>
      <c r="F137" s="2"/>
      <c r="G137" s="16">
        <f>SUM(G138)</f>
        <v>130.225</v>
      </c>
    </row>
    <row r="138" spans="1:7" s="1" customFormat="1" ht="15.75">
      <c r="A138" s="23" t="s">
        <v>160</v>
      </c>
      <c r="B138" s="2" t="s">
        <v>13</v>
      </c>
      <c r="C138" s="2" t="s">
        <v>117</v>
      </c>
      <c r="D138" s="2" t="s">
        <v>117</v>
      </c>
      <c r="E138" s="2"/>
      <c r="F138" s="2"/>
      <c r="G138" s="16">
        <f>SUM(G139)</f>
        <v>130.225</v>
      </c>
    </row>
    <row r="139" spans="1:7" s="1" customFormat="1" ht="16.5" customHeight="1">
      <c r="A139" s="23" t="s">
        <v>58</v>
      </c>
      <c r="B139" s="2" t="s">
        <v>13</v>
      </c>
      <c r="C139" s="2" t="s">
        <v>117</v>
      </c>
      <c r="D139" s="2" t="s">
        <v>117</v>
      </c>
      <c r="E139" s="2" t="s">
        <v>59</v>
      </c>
      <c r="F139" s="2"/>
      <c r="G139" s="16">
        <f>SUM(G140)</f>
        <v>130.225</v>
      </c>
    </row>
    <row r="140" spans="1:7" s="1" customFormat="1" ht="31.5">
      <c r="A140" s="23" t="s">
        <v>135</v>
      </c>
      <c r="B140" s="2" t="s">
        <v>13</v>
      </c>
      <c r="C140" s="2" t="s">
        <v>117</v>
      </c>
      <c r="D140" s="2" t="s">
        <v>117</v>
      </c>
      <c r="E140" s="2" t="s">
        <v>133</v>
      </c>
      <c r="F140" s="2"/>
      <c r="G140" s="16">
        <f>SUM(G141)</f>
        <v>130.225</v>
      </c>
    </row>
    <row r="141" spans="1:7" s="1" customFormat="1" ht="31.5">
      <c r="A141" s="23" t="s">
        <v>354</v>
      </c>
      <c r="B141" s="2" t="s">
        <v>13</v>
      </c>
      <c r="C141" s="2" t="s">
        <v>117</v>
      </c>
      <c r="D141" s="2" t="s">
        <v>117</v>
      </c>
      <c r="E141" s="2" t="s">
        <v>161</v>
      </c>
      <c r="F141" s="2"/>
      <c r="G141" s="16">
        <f>SUM(G142)</f>
        <v>130.225</v>
      </c>
    </row>
    <row r="142" spans="1:7" s="1" customFormat="1" ht="31.5">
      <c r="A142" s="23" t="s">
        <v>26</v>
      </c>
      <c r="B142" s="2" t="s">
        <v>13</v>
      </c>
      <c r="C142" s="2" t="s">
        <v>117</v>
      </c>
      <c r="D142" s="2" t="s">
        <v>117</v>
      </c>
      <c r="E142" s="2" t="s">
        <v>161</v>
      </c>
      <c r="F142" s="2" t="s">
        <v>27</v>
      </c>
      <c r="G142" s="16">
        <f>169-38.775</f>
        <v>130.225</v>
      </c>
    </row>
    <row r="143" spans="1:7" s="1" customFormat="1" ht="15.75">
      <c r="A143" s="23" t="s">
        <v>162</v>
      </c>
      <c r="B143" s="2" t="s">
        <v>13</v>
      </c>
      <c r="C143" s="2" t="s">
        <v>163</v>
      </c>
      <c r="D143" s="2"/>
      <c r="E143" s="2"/>
      <c r="F143" s="2"/>
      <c r="G143" s="16">
        <f>SUM(G144,G148,G179)</f>
        <v>6371.5946</v>
      </c>
    </row>
    <row r="144" spans="1:7" s="1" customFormat="1" ht="15.75">
      <c r="A144" s="23" t="s">
        <v>164</v>
      </c>
      <c r="B144" s="2" t="s">
        <v>13</v>
      </c>
      <c r="C144" s="2" t="s">
        <v>163</v>
      </c>
      <c r="D144" s="2" t="s">
        <v>15</v>
      </c>
      <c r="E144" s="2"/>
      <c r="F144" s="2"/>
      <c r="G144" s="16">
        <f>SUM(G145)</f>
        <v>1195.5198</v>
      </c>
    </row>
    <row r="145" spans="1:7" s="1" customFormat="1" ht="31.5">
      <c r="A145" s="23" t="s">
        <v>165</v>
      </c>
      <c r="B145" s="2" t="s">
        <v>13</v>
      </c>
      <c r="C145" s="2" t="s">
        <v>163</v>
      </c>
      <c r="D145" s="2" t="s">
        <v>15</v>
      </c>
      <c r="E145" s="2" t="s">
        <v>166</v>
      </c>
      <c r="F145" s="2"/>
      <c r="G145" s="16">
        <f>SUM(G146)</f>
        <v>1195.5198</v>
      </c>
    </row>
    <row r="146" spans="1:7" s="1" customFormat="1" ht="47.25">
      <c r="A146" s="23" t="s">
        <v>167</v>
      </c>
      <c r="B146" s="2" t="s">
        <v>13</v>
      </c>
      <c r="C146" s="2" t="s">
        <v>163</v>
      </c>
      <c r="D146" s="2" t="s">
        <v>15</v>
      </c>
      <c r="E146" s="2" t="s">
        <v>168</v>
      </c>
      <c r="F146" s="2"/>
      <c r="G146" s="16">
        <f>SUM(G147)</f>
        <v>1195.5198</v>
      </c>
    </row>
    <row r="147" spans="1:7" s="1" customFormat="1" ht="31.5">
      <c r="A147" s="23" t="s">
        <v>169</v>
      </c>
      <c r="B147" s="2" t="s">
        <v>13</v>
      </c>
      <c r="C147" s="2" t="s">
        <v>163</v>
      </c>
      <c r="D147" s="2" t="s">
        <v>15</v>
      </c>
      <c r="E147" s="2" t="s">
        <v>168</v>
      </c>
      <c r="F147" s="2" t="s">
        <v>170</v>
      </c>
      <c r="G147" s="16">
        <f>960+103.07+132.45-0.0002</f>
        <v>1195.5198</v>
      </c>
    </row>
    <row r="148" spans="1:7" s="1" customFormat="1" ht="15.75">
      <c r="A148" s="23" t="s">
        <v>171</v>
      </c>
      <c r="B148" s="2" t="s">
        <v>13</v>
      </c>
      <c r="C148" s="2" t="s">
        <v>163</v>
      </c>
      <c r="D148" s="2" t="s">
        <v>17</v>
      </c>
      <c r="E148" s="2"/>
      <c r="F148" s="2"/>
      <c r="G148" s="16">
        <f>SUM(G149,G156,G159,G165,G173)</f>
        <v>5176.0748</v>
      </c>
    </row>
    <row r="149" spans="1:7" s="1" customFormat="1" ht="15.75">
      <c r="A149" s="23" t="s">
        <v>358</v>
      </c>
      <c r="B149" s="2" t="s">
        <v>13</v>
      </c>
      <c r="C149" s="2" t="s">
        <v>163</v>
      </c>
      <c r="D149" s="2" t="s">
        <v>17</v>
      </c>
      <c r="E149" s="2" t="s">
        <v>359</v>
      </c>
      <c r="F149" s="2"/>
      <c r="G149" s="16">
        <f>SUM(G150,G153)</f>
        <v>1925.3980000000001</v>
      </c>
    </row>
    <row r="150" spans="1:7" s="1" customFormat="1" ht="31.5">
      <c r="A150" s="23" t="s">
        <v>406</v>
      </c>
      <c r="B150" s="2" t="s">
        <v>13</v>
      </c>
      <c r="C150" s="2" t="s">
        <v>163</v>
      </c>
      <c r="D150" s="2" t="s">
        <v>17</v>
      </c>
      <c r="E150" s="2" t="s">
        <v>404</v>
      </c>
      <c r="F150" s="2"/>
      <c r="G150" s="16">
        <f>SUM(G151)</f>
        <v>1453.7600000000002</v>
      </c>
    </row>
    <row r="151" spans="1:7" s="1" customFormat="1" ht="47.25">
      <c r="A151" s="23" t="s">
        <v>425</v>
      </c>
      <c r="B151" s="2" t="s">
        <v>13</v>
      </c>
      <c r="C151" s="2" t="s">
        <v>163</v>
      </c>
      <c r="D151" s="2" t="s">
        <v>17</v>
      </c>
      <c r="E151" s="2" t="s">
        <v>405</v>
      </c>
      <c r="F151" s="2"/>
      <c r="G151" s="16">
        <f>SUM(G152)</f>
        <v>1453.7600000000002</v>
      </c>
    </row>
    <row r="152" spans="1:7" s="1" customFormat="1" ht="47.25">
      <c r="A152" s="23" t="s">
        <v>178</v>
      </c>
      <c r="B152" s="2" t="s">
        <v>13</v>
      </c>
      <c r="C152" s="2" t="s">
        <v>163</v>
      </c>
      <c r="D152" s="2" t="s">
        <v>17</v>
      </c>
      <c r="E152" s="2" t="s">
        <v>405</v>
      </c>
      <c r="F152" s="2" t="s">
        <v>179</v>
      </c>
      <c r="G152" s="16">
        <f>399.168+1054.592</f>
        <v>1453.7600000000002</v>
      </c>
    </row>
    <row r="153" spans="1:7" s="1" customFormat="1" ht="31.5">
      <c r="A153" s="23" t="s">
        <v>360</v>
      </c>
      <c r="B153" s="2" t="s">
        <v>13</v>
      </c>
      <c r="C153" s="2" t="s">
        <v>163</v>
      </c>
      <c r="D153" s="2" t="s">
        <v>17</v>
      </c>
      <c r="E153" s="2" t="s">
        <v>361</v>
      </c>
      <c r="F153" s="2"/>
      <c r="G153" s="16">
        <f>SUM(G154)</f>
        <v>471.63800000000003</v>
      </c>
    </row>
    <row r="154" spans="1:7" s="1" customFormat="1" ht="31.5">
      <c r="A154" s="23" t="s">
        <v>362</v>
      </c>
      <c r="B154" s="2" t="s">
        <v>13</v>
      </c>
      <c r="C154" s="2" t="s">
        <v>163</v>
      </c>
      <c r="D154" s="2" t="s">
        <v>17</v>
      </c>
      <c r="E154" s="2" t="s">
        <v>363</v>
      </c>
      <c r="F154" s="2"/>
      <c r="G154" s="16">
        <f>SUM(G155)</f>
        <v>471.63800000000003</v>
      </c>
    </row>
    <row r="155" spans="1:7" s="1" customFormat="1" ht="47.25">
      <c r="A155" s="23" t="s">
        <v>178</v>
      </c>
      <c r="B155" s="2" t="s">
        <v>13</v>
      </c>
      <c r="C155" s="2" t="s">
        <v>163</v>
      </c>
      <c r="D155" s="2" t="s">
        <v>17</v>
      </c>
      <c r="E155" s="2" t="s">
        <v>363</v>
      </c>
      <c r="F155" s="2" t="s">
        <v>179</v>
      </c>
      <c r="G155" s="16">
        <f>418.718+52.92</f>
        <v>471.63800000000003</v>
      </c>
    </row>
    <row r="156" spans="1:7" s="41" customFormat="1" ht="15.75">
      <c r="A156" s="38" t="s">
        <v>223</v>
      </c>
      <c r="B156" s="2" t="s">
        <v>13</v>
      </c>
      <c r="C156" s="2" t="s">
        <v>163</v>
      </c>
      <c r="D156" s="2" t="s">
        <v>17</v>
      </c>
      <c r="E156" s="2" t="s">
        <v>224</v>
      </c>
      <c r="F156" s="2"/>
      <c r="G156" s="16">
        <f>SUM(G157)</f>
        <v>90</v>
      </c>
    </row>
    <row r="157" spans="1:7" s="41" customFormat="1" ht="15.75">
      <c r="A157" s="38" t="s">
        <v>418</v>
      </c>
      <c r="B157" s="2" t="s">
        <v>13</v>
      </c>
      <c r="C157" s="2" t="s">
        <v>163</v>
      </c>
      <c r="D157" s="2" t="s">
        <v>17</v>
      </c>
      <c r="E157" s="2" t="s">
        <v>435</v>
      </c>
      <c r="F157" s="2"/>
      <c r="G157" s="16">
        <f>SUM(G158)</f>
        <v>90</v>
      </c>
    </row>
    <row r="158" spans="1:7" s="41" customFormat="1" ht="15.75">
      <c r="A158" s="38" t="s">
        <v>373</v>
      </c>
      <c r="B158" s="2" t="s">
        <v>13</v>
      </c>
      <c r="C158" s="2" t="s">
        <v>163</v>
      </c>
      <c r="D158" s="2" t="s">
        <v>17</v>
      </c>
      <c r="E158" s="2" t="s">
        <v>435</v>
      </c>
      <c r="F158" s="2" t="s">
        <v>372</v>
      </c>
      <c r="G158" s="16">
        <f>10+50+30</f>
        <v>90</v>
      </c>
    </row>
    <row r="159" spans="1:7" s="1" customFormat="1" ht="31.5">
      <c r="A159" s="23" t="s">
        <v>172</v>
      </c>
      <c r="B159" s="2" t="s">
        <v>13</v>
      </c>
      <c r="C159" s="2" t="s">
        <v>163</v>
      </c>
      <c r="D159" s="2" t="s">
        <v>17</v>
      </c>
      <c r="E159" s="2" t="s">
        <v>173</v>
      </c>
      <c r="F159" s="2"/>
      <c r="G159" s="16">
        <f>SUM(G160)</f>
        <v>1387.22</v>
      </c>
    </row>
    <row r="160" spans="1:7" s="1" customFormat="1" ht="15.75">
      <c r="A160" s="23" t="s">
        <v>174</v>
      </c>
      <c r="B160" s="2" t="s">
        <v>13</v>
      </c>
      <c r="C160" s="2" t="s">
        <v>163</v>
      </c>
      <c r="D160" s="2" t="s">
        <v>17</v>
      </c>
      <c r="E160" s="2" t="s">
        <v>175</v>
      </c>
      <c r="F160" s="2"/>
      <c r="G160" s="16">
        <f>SUM(G161:G164)</f>
        <v>1387.22</v>
      </c>
    </row>
    <row r="161" spans="1:7" s="1" customFormat="1" ht="31.5">
      <c r="A161" s="23" t="s">
        <v>26</v>
      </c>
      <c r="B161" s="2" t="s">
        <v>13</v>
      </c>
      <c r="C161" s="2" t="s">
        <v>163</v>
      </c>
      <c r="D161" s="2" t="s">
        <v>17</v>
      </c>
      <c r="E161" s="2" t="s">
        <v>175</v>
      </c>
      <c r="F161" s="2" t="s">
        <v>27</v>
      </c>
      <c r="G161" s="16">
        <f>230+36.98</f>
        <v>266.98</v>
      </c>
    </row>
    <row r="162" spans="1:7" s="1" customFormat="1" ht="31.5">
      <c r="A162" s="23" t="s">
        <v>176</v>
      </c>
      <c r="B162" s="2" t="s">
        <v>13</v>
      </c>
      <c r="C162" s="2" t="s">
        <v>163</v>
      </c>
      <c r="D162" s="2" t="s">
        <v>17</v>
      </c>
      <c r="E162" s="2" t="s">
        <v>175</v>
      </c>
      <c r="F162" s="2" t="s">
        <v>177</v>
      </c>
      <c r="G162" s="16">
        <f>700.24+86</f>
        <v>786.24</v>
      </c>
    </row>
    <row r="163" spans="1:7" s="1" customFormat="1" ht="47.25">
      <c r="A163" s="23" t="s">
        <v>178</v>
      </c>
      <c r="B163" s="2" t="s">
        <v>13</v>
      </c>
      <c r="C163" s="2" t="s">
        <v>163</v>
      </c>
      <c r="D163" s="2" t="s">
        <v>17</v>
      </c>
      <c r="E163" s="2" t="s">
        <v>175</v>
      </c>
      <c r="F163" s="2" t="s">
        <v>179</v>
      </c>
      <c r="G163" s="16">
        <f>40+94</f>
        <v>134</v>
      </c>
    </row>
    <row r="164" spans="1:7" s="1" customFormat="1" ht="17.25" customHeight="1">
      <c r="A164" s="23" t="s">
        <v>52</v>
      </c>
      <c r="B164" s="2" t="s">
        <v>13</v>
      </c>
      <c r="C164" s="2" t="s">
        <v>163</v>
      </c>
      <c r="D164" s="2" t="s">
        <v>17</v>
      </c>
      <c r="E164" s="2" t="s">
        <v>175</v>
      </c>
      <c r="F164" s="2" t="s">
        <v>53</v>
      </c>
      <c r="G164" s="16">
        <f>200</f>
        <v>200</v>
      </c>
    </row>
    <row r="165" spans="1:7" s="1" customFormat="1" ht="17.25" customHeight="1">
      <c r="A165" s="23" t="s">
        <v>183</v>
      </c>
      <c r="B165" s="2" t="s">
        <v>13</v>
      </c>
      <c r="C165" s="2" t="s">
        <v>163</v>
      </c>
      <c r="D165" s="2" t="s">
        <v>17</v>
      </c>
      <c r="E165" s="2" t="s">
        <v>73</v>
      </c>
      <c r="F165" s="2"/>
      <c r="G165" s="16">
        <f>SUM(G166,G171)</f>
        <v>1492.591</v>
      </c>
    </row>
    <row r="166" spans="1:7" s="1" customFormat="1" ht="33.75" customHeight="1">
      <c r="A166" s="23" t="s">
        <v>345</v>
      </c>
      <c r="B166" s="39" t="s">
        <v>13</v>
      </c>
      <c r="C166" s="2" t="s">
        <v>163</v>
      </c>
      <c r="D166" s="2" t="s">
        <v>17</v>
      </c>
      <c r="E166" s="2" t="s">
        <v>180</v>
      </c>
      <c r="F166" s="2"/>
      <c r="G166" s="16">
        <f>SUM(G167,G169)</f>
        <v>800.278</v>
      </c>
    </row>
    <row r="167" spans="1:7" s="1" customFormat="1" ht="65.25" customHeight="1">
      <c r="A167" s="23" t="s">
        <v>184</v>
      </c>
      <c r="B167" s="39" t="s">
        <v>13</v>
      </c>
      <c r="C167" s="2" t="s">
        <v>163</v>
      </c>
      <c r="D167" s="2" t="s">
        <v>17</v>
      </c>
      <c r="E167" s="2" t="s">
        <v>181</v>
      </c>
      <c r="F167" s="2"/>
      <c r="G167" s="16">
        <f>SUM(G168)</f>
        <v>531.862</v>
      </c>
    </row>
    <row r="168" spans="1:7" s="1" customFormat="1" ht="47.25">
      <c r="A168" s="23" t="s">
        <v>178</v>
      </c>
      <c r="B168" s="39" t="s">
        <v>13</v>
      </c>
      <c r="C168" s="2" t="s">
        <v>163</v>
      </c>
      <c r="D168" s="2" t="s">
        <v>17</v>
      </c>
      <c r="E168" s="2" t="s">
        <v>181</v>
      </c>
      <c r="F168" s="2" t="s">
        <v>179</v>
      </c>
      <c r="G168" s="16">
        <f>463+68.862</f>
        <v>531.862</v>
      </c>
    </row>
    <row r="169" spans="1:7" s="1" customFormat="1" ht="78.75">
      <c r="A169" s="23" t="s">
        <v>377</v>
      </c>
      <c r="B169" s="39" t="s">
        <v>13</v>
      </c>
      <c r="C169" s="2" t="s">
        <v>163</v>
      </c>
      <c r="D169" s="2" t="s">
        <v>17</v>
      </c>
      <c r="E169" s="2" t="s">
        <v>182</v>
      </c>
      <c r="F169" s="2"/>
      <c r="G169" s="16">
        <f>SUM(G170)</f>
        <v>268.416</v>
      </c>
    </row>
    <row r="170" spans="1:7" s="1" customFormat="1" ht="47.25">
      <c r="A170" s="23" t="s">
        <v>178</v>
      </c>
      <c r="B170" s="39" t="s">
        <v>13</v>
      </c>
      <c r="C170" s="2" t="s">
        <v>163</v>
      </c>
      <c r="D170" s="2" t="s">
        <v>17</v>
      </c>
      <c r="E170" s="2" t="s">
        <v>182</v>
      </c>
      <c r="F170" s="2" t="s">
        <v>179</v>
      </c>
      <c r="G170" s="16">
        <f>162+106.416</f>
        <v>268.416</v>
      </c>
    </row>
    <row r="171" spans="1:7" s="1" customFormat="1" ht="31.5">
      <c r="A171" s="23" t="s">
        <v>357</v>
      </c>
      <c r="B171" s="2" t="s">
        <v>13</v>
      </c>
      <c r="C171" s="2" t="s">
        <v>163</v>
      </c>
      <c r="D171" s="2" t="s">
        <v>17</v>
      </c>
      <c r="E171" s="2" t="s">
        <v>356</v>
      </c>
      <c r="F171" s="2"/>
      <c r="G171" s="16">
        <f>SUM(G172)</f>
        <v>692.313</v>
      </c>
    </row>
    <row r="172" spans="1:7" s="1" customFormat="1" ht="47.25">
      <c r="A172" s="23" t="s">
        <v>178</v>
      </c>
      <c r="B172" s="2" t="s">
        <v>13</v>
      </c>
      <c r="C172" s="2" t="s">
        <v>163</v>
      </c>
      <c r="D172" s="2" t="s">
        <v>17</v>
      </c>
      <c r="E172" s="2" t="s">
        <v>356</v>
      </c>
      <c r="F172" s="2" t="s">
        <v>179</v>
      </c>
      <c r="G172" s="16">
        <f>577.653+114.66</f>
        <v>692.313</v>
      </c>
    </row>
    <row r="173" spans="1:7" s="1" customFormat="1" ht="15.75" customHeight="1">
      <c r="A173" s="23" t="s">
        <v>58</v>
      </c>
      <c r="B173" s="2" t="s">
        <v>13</v>
      </c>
      <c r="C173" s="2" t="s">
        <v>163</v>
      </c>
      <c r="D173" s="2" t="s">
        <v>17</v>
      </c>
      <c r="E173" s="2" t="s">
        <v>59</v>
      </c>
      <c r="F173" s="2"/>
      <c r="G173" s="16">
        <f>SUM(G174)</f>
        <v>280.8658</v>
      </c>
    </row>
    <row r="174" spans="1:7" s="1" customFormat="1" ht="31.5">
      <c r="A174" s="23" t="s">
        <v>135</v>
      </c>
      <c r="B174" s="2" t="s">
        <v>13</v>
      </c>
      <c r="C174" s="2" t="s">
        <v>163</v>
      </c>
      <c r="D174" s="2" t="s">
        <v>17</v>
      </c>
      <c r="E174" s="2" t="s">
        <v>133</v>
      </c>
      <c r="F174" s="2"/>
      <c r="G174" s="16">
        <f>SUM(G175,G177)</f>
        <v>280.8658</v>
      </c>
    </row>
    <row r="175" spans="1:7" s="1" customFormat="1" ht="31.5">
      <c r="A175" s="23" t="s">
        <v>190</v>
      </c>
      <c r="B175" s="2" t="s">
        <v>13</v>
      </c>
      <c r="C175" s="2" t="s">
        <v>163</v>
      </c>
      <c r="D175" s="2" t="s">
        <v>17</v>
      </c>
      <c r="E175" s="2" t="s">
        <v>191</v>
      </c>
      <c r="F175" s="2"/>
      <c r="G175" s="16">
        <f>SUM(G176)</f>
        <v>263.6928</v>
      </c>
    </row>
    <row r="176" spans="1:7" s="1" customFormat="1" ht="47.25">
      <c r="A176" s="23" t="s">
        <v>178</v>
      </c>
      <c r="B176" s="2" t="s">
        <v>13</v>
      </c>
      <c r="C176" s="2" t="s">
        <v>163</v>
      </c>
      <c r="D176" s="2" t="s">
        <v>17</v>
      </c>
      <c r="E176" s="2" t="s">
        <v>191</v>
      </c>
      <c r="F176" s="2" t="s">
        <v>179</v>
      </c>
      <c r="G176" s="16">
        <f>200+63.6926+0.0002</f>
        <v>263.6928</v>
      </c>
    </row>
    <row r="177" spans="1:7" s="1" customFormat="1" ht="78.75">
      <c r="A177" s="23" t="s">
        <v>437</v>
      </c>
      <c r="B177" s="2" t="s">
        <v>13</v>
      </c>
      <c r="C177" s="2" t="s">
        <v>163</v>
      </c>
      <c r="D177" s="2" t="s">
        <v>17</v>
      </c>
      <c r="E177" s="2" t="s">
        <v>436</v>
      </c>
      <c r="F177" s="2"/>
      <c r="G177" s="16">
        <f>SUM(G178)</f>
        <v>17.173</v>
      </c>
    </row>
    <row r="178" spans="1:7" s="1" customFormat="1" ht="47.25">
      <c r="A178" s="23" t="s">
        <v>178</v>
      </c>
      <c r="B178" s="2" t="s">
        <v>13</v>
      </c>
      <c r="C178" s="2" t="s">
        <v>163</v>
      </c>
      <c r="D178" s="2" t="s">
        <v>17</v>
      </c>
      <c r="E178" s="2" t="s">
        <v>436</v>
      </c>
      <c r="F178" s="2" t="s">
        <v>179</v>
      </c>
      <c r="G178" s="16">
        <v>17.173</v>
      </c>
    </row>
    <row r="179" spans="1:7" s="1" customFormat="1" ht="15.75" hidden="1">
      <c r="A179" s="23" t="s">
        <v>417</v>
      </c>
      <c r="B179" s="2" t="s">
        <v>13</v>
      </c>
      <c r="C179" s="2" t="s">
        <v>163</v>
      </c>
      <c r="D179" s="2" t="s">
        <v>50</v>
      </c>
      <c r="E179" s="2"/>
      <c r="F179" s="2"/>
      <c r="G179" s="16">
        <f>SUM(G180)</f>
        <v>0</v>
      </c>
    </row>
    <row r="180" spans="1:7" s="1" customFormat="1" ht="15.75" hidden="1">
      <c r="A180" s="23" t="s">
        <v>223</v>
      </c>
      <c r="B180" s="2" t="s">
        <v>13</v>
      </c>
      <c r="C180" s="2" t="s">
        <v>163</v>
      </c>
      <c r="D180" s="2" t="s">
        <v>50</v>
      </c>
      <c r="E180" s="2" t="s">
        <v>224</v>
      </c>
      <c r="F180" s="2"/>
      <c r="G180" s="16">
        <f>SUM(G181)</f>
        <v>0</v>
      </c>
    </row>
    <row r="181" spans="1:7" s="1" customFormat="1" ht="15.75" hidden="1">
      <c r="A181" s="23" t="s">
        <v>418</v>
      </c>
      <c r="B181" s="2" t="s">
        <v>13</v>
      </c>
      <c r="C181" s="2" t="s">
        <v>163</v>
      </c>
      <c r="D181" s="2" t="s">
        <v>50</v>
      </c>
      <c r="E181" s="2" t="s">
        <v>415</v>
      </c>
      <c r="F181" s="2"/>
      <c r="G181" s="16">
        <f>SUM(G182)</f>
        <v>0</v>
      </c>
    </row>
    <row r="182" spans="1:7" s="1" customFormat="1" ht="95.25" customHeight="1" hidden="1">
      <c r="A182" s="23" t="s">
        <v>419</v>
      </c>
      <c r="B182" s="2" t="s">
        <v>13</v>
      </c>
      <c r="C182" s="2" t="s">
        <v>163</v>
      </c>
      <c r="D182" s="2" t="s">
        <v>50</v>
      </c>
      <c r="E182" s="2" t="s">
        <v>416</v>
      </c>
      <c r="F182" s="2"/>
      <c r="G182" s="16">
        <f>SUM(G183)</f>
        <v>0</v>
      </c>
    </row>
    <row r="183" spans="1:7" s="1" customFormat="1" ht="47.25" hidden="1">
      <c r="A183" s="23" t="s">
        <v>178</v>
      </c>
      <c r="B183" s="2" t="s">
        <v>13</v>
      </c>
      <c r="C183" s="2" t="s">
        <v>163</v>
      </c>
      <c r="D183" s="2" t="s">
        <v>50</v>
      </c>
      <c r="E183" s="2" t="s">
        <v>416</v>
      </c>
      <c r="F183" s="2" t="s">
        <v>179</v>
      </c>
      <c r="G183" s="16"/>
    </row>
    <row r="184" spans="1:7" s="1" customFormat="1" ht="15.75">
      <c r="A184" s="23" t="s">
        <v>185</v>
      </c>
      <c r="B184" s="2" t="s">
        <v>13</v>
      </c>
      <c r="C184" s="2" t="s">
        <v>186</v>
      </c>
      <c r="D184" s="2"/>
      <c r="E184" s="2"/>
      <c r="F184" s="2"/>
      <c r="G184" s="16">
        <f>SUM(G185,G190)</f>
        <v>2301.24</v>
      </c>
    </row>
    <row r="185" spans="1:7" s="1" customFormat="1" ht="15.75">
      <c r="A185" s="23" t="s">
        <v>351</v>
      </c>
      <c r="B185" s="2" t="s">
        <v>13</v>
      </c>
      <c r="C185" s="2" t="s">
        <v>186</v>
      </c>
      <c r="D185" s="2" t="s">
        <v>61</v>
      </c>
      <c r="E185" s="2"/>
      <c r="F185" s="2"/>
      <c r="G185" s="16">
        <f>SUM(G186)</f>
        <v>1971.24</v>
      </c>
    </row>
    <row r="186" spans="1:7" s="1" customFormat="1" ht="16.5" customHeight="1">
      <c r="A186" s="23" t="s">
        <v>58</v>
      </c>
      <c r="B186" s="2" t="s">
        <v>13</v>
      </c>
      <c r="C186" s="2" t="s">
        <v>186</v>
      </c>
      <c r="D186" s="2" t="s">
        <v>61</v>
      </c>
      <c r="E186" s="2" t="s">
        <v>59</v>
      </c>
      <c r="F186" s="2"/>
      <c r="G186" s="16">
        <f>SUM(G187)</f>
        <v>1971.24</v>
      </c>
    </row>
    <row r="187" spans="1:7" s="1" customFormat="1" ht="31.5">
      <c r="A187" s="23" t="s">
        <v>135</v>
      </c>
      <c r="B187" s="2" t="s">
        <v>13</v>
      </c>
      <c r="C187" s="2" t="s">
        <v>186</v>
      </c>
      <c r="D187" s="2" t="s">
        <v>61</v>
      </c>
      <c r="E187" s="2" t="s">
        <v>133</v>
      </c>
      <c r="F187" s="2"/>
      <c r="G187" s="16">
        <f>SUM(G188)</f>
        <v>1971.24</v>
      </c>
    </row>
    <row r="188" spans="1:7" s="1" customFormat="1" ht="49.5" customHeight="1">
      <c r="A188" s="23" t="s">
        <v>352</v>
      </c>
      <c r="B188" s="2" t="s">
        <v>13</v>
      </c>
      <c r="C188" s="2" t="s">
        <v>186</v>
      </c>
      <c r="D188" s="2" t="s">
        <v>61</v>
      </c>
      <c r="E188" s="2" t="s">
        <v>350</v>
      </c>
      <c r="F188" s="2"/>
      <c r="G188" s="16">
        <f>SUM(G189)</f>
        <v>1971.24</v>
      </c>
    </row>
    <row r="189" spans="1:7" s="1" customFormat="1" ht="31.5">
      <c r="A189" s="23" t="s">
        <v>26</v>
      </c>
      <c r="B189" s="2" t="s">
        <v>13</v>
      </c>
      <c r="C189" s="2" t="s">
        <v>186</v>
      </c>
      <c r="D189" s="2" t="s">
        <v>61</v>
      </c>
      <c r="E189" s="2" t="s">
        <v>350</v>
      </c>
      <c r="F189" s="2" t="s">
        <v>27</v>
      </c>
      <c r="G189" s="16">
        <f>2606-966+231.24+100</f>
        <v>1971.24</v>
      </c>
    </row>
    <row r="190" spans="1:7" s="1" customFormat="1" ht="31.5">
      <c r="A190" s="23" t="s">
        <v>187</v>
      </c>
      <c r="B190" s="2" t="s">
        <v>13</v>
      </c>
      <c r="C190" s="2" t="s">
        <v>186</v>
      </c>
      <c r="D190" s="2" t="s">
        <v>104</v>
      </c>
      <c r="E190" s="2"/>
      <c r="F190" s="2"/>
      <c r="G190" s="16">
        <f>SUM(G191)</f>
        <v>330</v>
      </c>
    </row>
    <row r="191" spans="1:7" s="1" customFormat="1" ht="31.5">
      <c r="A191" s="23" t="s">
        <v>188</v>
      </c>
      <c r="B191" s="2" t="s">
        <v>13</v>
      </c>
      <c r="C191" s="2" t="s">
        <v>186</v>
      </c>
      <c r="D191" s="2" t="s">
        <v>104</v>
      </c>
      <c r="E191" s="2" t="s">
        <v>189</v>
      </c>
      <c r="F191" s="2"/>
      <c r="G191" s="16">
        <f>SUM(G192)</f>
        <v>330</v>
      </c>
    </row>
    <row r="192" spans="1:7" s="1" customFormat="1" ht="31.5">
      <c r="A192" s="23" t="s">
        <v>26</v>
      </c>
      <c r="B192" s="2" t="s">
        <v>13</v>
      </c>
      <c r="C192" s="2" t="s">
        <v>186</v>
      </c>
      <c r="D192" s="2" t="s">
        <v>104</v>
      </c>
      <c r="E192" s="2" t="s">
        <v>189</v>
      </c>
      <c r="F192" s="2" t="s">
        <v>27</v>
      </c>
      <c r="G192" s="16">
        <v>330</v>
      </c>
    </row>
    <row r="193" spans="1:8" ht="63">
      <c r="A193" s="22" t="s">
        <v>47</v>
      </c>
      <c r="B193" s="6" t="s">
        <v>48</v>
      </c>
      <c r="C193" s="6"/>
      <c r="D193" s="6"/>
      <c r="E193" s="6"/>
      <c r="F193" s="6"/>
      <c r="G193" s="50">
        <f>SUM(G194,G218,G231,G223,G256,G266)</f>
        <v>103410.00073000001</v>
      </c>
      <c r="H193" s="48"/>
    </row>
    <row r="194" spans="1:7" ht="15.75">
      <c r="A194" s="23" t="s">
        <v>14</v>
      </c>
      <c r="B194" s="2" t="s">
        <v>48</v>
      </c>
      <c r="C194" s="2" t="s">
        <v>15</v>
      </c>
      <c r="D194" s="2"/>
      <c r="E194" s="2"/>
      <c r="F194" s="2"/>
      <c r="G194" s="16">
        <f>SUM(G195,G207)</f>
        <v>5298.2</v>
      </c>
    </row>
    <row r="195" spans="1:7" ht="47.25">
      <c r="A195" s="23" t="s">
        <v>49</v>
      </c>
      <c r="B195" s="2" t="s">
        <v>48</v>
      </c>
      <c r="C195" s="2" t="s">
        <v>15</v>
      </c>
      <c r="D195" s="2" t="s">
        <v>50</v>
      </c>
      <c r="E195" s="2"/>
      <c r="F195" s="2"/>
      <c r="G195" s="16">
        <f>SUM(G196)</f>
        <v>4556.33</v>
      </c>
    </row>
    <row r="196" spans="1:7" ht="63">
      <c r="A196" s="23" t="s">
        <v>18</v>
      </c>
      <c r="B196" s="2" t="s">
        <v>48</v>
      </c>
      <c r="C196" s="2" t="s">
        <v>15</v>
      </c>
      <c r="D196" s="2" t="s">
        <v>50</v>
      </c>
      <c r="E196" s="2" t="s">
        <v>19</v>
      </c>
      <c r="F196" s="2"/>
      <c r="G196" s="16">
        <f>SUM(G197)</f>
        <v>4556.33</v>
      </c>
    </row>
    <row r="197" spans="1:7" ht="15.75">
      <c r="A197" s="23" t="s">
        <v>20</v>
      </c>
      <c r="B197" s="2" t="s">
        <v>48</v>
      </c>
      <c r="C197" s="2" t="s">
        <v>15</v>
      </c>
      <c r="D197" s="2" t="s">
        <v>50</v>
      </c>
      <c r="E197" s="2" t="s">
        <v>21</v>
      </c>
      <c r="F197" s="2"/>
      <c r="G197" s="16">
        <f>SUM(G198,G201:G206)</f>
        <v>4556.33</v>
      </c>
    </row>
    <row r="198" spans="1:7" ht="15.75">
      <c r="A198" s="23" t="s">
        <v>22</v>
      </c>
      <c r="B198" s="2" t="s">
        <v>48</v>
      </c>
      <c r="C198" s="2" t="s">
        <v>15</v>
      </c>
      <c r="D198" s="2" t="s">
        <v>50</v>
      </c>
      <c r="E198" s="2" t="s">
        <v>21</v>
      </c>
      <c r="F198" s="2" t="s">
        <v>23</v>
      </c>
      <c r="G198" s="16">
        <f>-300+3923.8+646.4</f>
        <v>4270.2</v>
      </c>
    </row>
    <row r="199" spans="1:7" ht="15.75">
      <c r="A199" s="32" t="s">
        <v>28</v>
      </c>
      <c r="B199" s="7"/>
      <c r="C199" s="7"/>
      <c r="D199" s="7"/>
      <c r="E199" s="7"/>
      <c r="F199" s="7"/>
      <c r="G199" s="18"/>
    </row>
    <row r="200" spans="1:7" ht="63">
      <c r="A200" s="33" t="s">
        <v>51</v>
      </c>
      <c r="B200" s="8"/>
      <c r="C200" s="8"/>
      <c r="D200" s="8"/>
      <c r="E200" s="8"/>
      <c r="F200" s="8"/>
      <c r="G200" s="20">
        <v>201.5</v>
      </c>
    </row>
    <row r="201" spans="1:7" ht="31.5">
      <c r="A201" s="23" t="s">
        <v>24</v>
      </c>
      <c r="B201" s="2" t="s">
        <v>48</v>
      </c>
      <c r="C201" s="2" t="s">
        <v>15</v>
      </c>
      <c r="D201" s="2" t="s">
        <v>50</v>
      </c>
      <c r="E201" s="2" t="s">
        <v>21</v>
      </c>
      <c r="F201" s="2" t="s">
        <v>25</v>
      </c>
      <c r="G201" s="16">
        <v>11.5</v>
      </c>
    </row>
    <row r="202" spans="1:7" ht="31.5">
      <c r="A202" s="23" t="s">
        <v>35</v>
      </c>
      <c r="B202" s="2" t="s">
        <v>48</v>
      </c>
      <c r="C202" s="2" t="s">
        <v>15</v>
      </c>
      <c r="D202" s="2" t="s">
        <v>50</v>
      </c>
      <c r="E202" s="2" t="s">
        <v>21</v>
      </c>
      <c r="F202" s="2" t="s">
        <v>36</v>
      </c>
      <c r="G202" s="16">
        <v>151.7</v>
      </c>
    </row>
    <row r="203" spans="1:7" ht="31.5">
      <c r="A203" s="23" t="s">
        <v>26</v>
      </c>
      <c r="B203" s="2" t="s">
        <v>48</v>
      </c>
      <c r="C203" s="2" t="s">
        <v>15</v>
      </c>
      <c r="D203" s="2" t="s">
        <v>50</v>
      </c>
      <c r="E203" s="2" t="s">
        <v>21</v>
      </c>
      <c r="F203" s="7" t="s">
        <v>27</v>
      </c>
      <c r="G203" s="18">
        <f>146.33-25-2.5+1.6</f>
        <v>120.43</v>
      </c>
    </row>
    <row r="204" spans="1:7" ht="16.5" customHeight="1" hidden="1">
      <c r="A204" s="34" t="s">
        <v>52</v>
      </c>
      <c r="B204" s="2" t="s">
        <v>48</v>
      </c>
      <c r="C204" s="2" t="s">
        <v>15</v>
      </c>
      <c r="D204" s="2" t="s">
        <v>50</v>
      </c>
      <c r="E204" s="2" t="s">
        <v>21</v>
      </c>
      <c r="F204" s="7" t="s">
        <v>53</v>
      </c>
      <c r="G204" s="18"/>
    </row>
    <row r="205" spans="1:7" ht="32.25" customHeight="1" hidden="1">
      <c r="A205" s="27" t="s">
        <v>39</v>
      </c>
      <c r="B205" s="2" t="s">
        <v>48</v>
      </c>
      <c r="C205" s="2" t="s">
        <v>15</v>
      </c>
      <c r="D205" s="2" t="s">
        <v>50</v>
      </c>
      <c r="E205" s="2" t="s">
        <v>21</v>
      </c>
      <c r="F205" s="7" t="s">
        <v>40</v>
      </c>
      <c r="G205" s="18"/>
    </row>
    <row r="206" spans="1:7" ht="31.5">
      <c r="A206" s="23" t="s">
        <v>54</v>
      </c>
      <c r="B206" s="2" t="s">
        <v>48</v>
      </c>
      <c r="C206" s="2" t="s">
        <v>15</v>
      </c>
      <c r="D206" s="2" t="s">
        <v>50</v>
      </c>
      <c r="E206" s="2" t="s">
        <v>21</v>
      </c>
      <c r="F206" s="7" t="s">
        <v>42</v>
      </c>
      <c r="G206" s="18">
        <v>2.5</v>
      </c>
    </row>
    <row r="207" spans="1:7" ht="15.75">
      <c r="A207" s="23" t="s">
        <v>45</v>
      </c>
      <c r="B207" s="2" t="s">
        <v>48</v>
      </c>
      <c r="C207" s="2" t="s">
        <v>15</v>
      </c>
      <c r="D207" s="2" t="s">
        <v>46</v>
      </c>
      <c r="E207" s="2"/>
      <c r="F207" s="2"/>
      <c r="G207" s="16">
        <f>SUM(G208,G214)</f>
        <v>741.87</v>
      </c>
    </row>
    <row r="208" spans="1:7" ht="96" customHeight="1">
      <c r="A208" s="35" t="s">
        <v>116</v>
      </c>
      <c r="B208" s="2" t="s">
        <v>48</v>
      </c>
      <c r="C208" s="2" t="s">
        <v>15</v>
      </c>
      <c r="D208" s="2" t="s">
        <v>46</v>
      </c>
      <c r="E208" s="2" t="s">
        <v>55</v>
      </c>
      <c r="F208" s="2"/>
      <c r="G208" s="16">
        <f>SUM(G212,G209)</f>
        <v>1.8699999999999999</v>
      </c>
    </row>
    <row r="209" spans="1:7" ht="15.75">
      <c r="A209" s="35" t="s">
        <v>56</v>
      </c>
      <c r="B209" s="2" t="s">
        <v>48</v>
      </c>
      <c r="C209" s="2" t="s">
        <v>15</v>
      </c>
      <c r="D209" s="2" t="s">
        <v>46</v>
      </c>
      <c r="E209" s="2" t="s">
        <v>57</v>
      </c>
      <c r="F209" s="2"/>
      <c r="G209" s="16">
        <f>SUM(G210:G211)</f>
        <v>1.8699999999999999</v>
      </c>
    </row>
    <row r="210" spans="1:7" ht="15.75">
      <c r="A210" s="23" t="s">
        <v>22</v>
      </c>
      <c r="B210" s="2" t="s">
        <v>48</v>
      </c>
      <c r="C210" s="2" t="s">
        <v>15</v>
      </c>
      <c r="D210" s="2" t="s">
        <v>46</v>
      </c>
      <c r="E210" s="2" t="s">
        <v>57</v>
      </c>
      <c r="F210" s="2" t="s">
        <v>23</v>
      </c>
      <c r="G210" s="16">
        <v>1.7</v>
      </c>
    </row>
    <row r="211" spans="1:7" ht="31.5">
      <c r="A211" s="23" t="s">
        <v>26</v>
      </c>
      <c r="B211" s="2" t="s">
        <v>48</v>
      </c>
      <c r="C211" s="2" t="s">
        <v>15</v>
      </c>
      <c r="D211" s="2" t="s">
        <v>46</v>
      </c>
      <c r="E211" s="2" t="s">
        <v>57</v>
      </c>
      <c r="F211" s="2" t="s">
        <v>27</v>
      </c>
      <c r="G211" s="16">
        <v>0.17</v>
      </c>
    </row>
    <row r="212" spans="1:7" s="1" customFormat="1" ht="31.5" hidden="1">
      <c r="A212" s="23" t="s">
        <v>349</v>
      </c>
      <c r="B212" s="2" t="s">
        <v>48</v>
      </c>
      <c r="C212" s="2" t="s">
        <v>15</v>
      </c>
      <c r="D212" s="2" t="s">
        <v>46</v>
      </c>
      <c r="E212" s="2" t="s">
        <v>348</v>
      </c>
      <c r="F212" s="2"/>
      <c r="G212" s="16">
        <f>SUM(G213)</f>
        <v>0</v>
      </c>
    </row>
    <row r="213" spans="1:7" s="1" customFormat="1" ht="15.75" hidden="1">
      <c r="A213" s="23" t="s">
        <v>67</v>
      </c>
      <c r="B213" s="2" t="s">
        <v>48</v>
      </c>
      <c r="C213" s="2" t="s">
        <v>15</v>
      </c>
      <c r="D213" s="2" t="s">
        <v>46</v>
      </c>
      <c r="E213" s="2" t="s">
        <v>348</v>
      </c>
      <c r="F213" s="2" t="s">
        <v>68</v>
      </c>
      <c r="G213" s="16"/>
    </row>
    <row r="214" spans="1:7" ht="16.5" customHeight="1">
      <c r="A214" s="23" t="s">
        <v>58</v>
      </c>
      <c r="B214" s="2" t="s">
        <v>48</v>
      </c>
      <c r="C214" s="2" t="s">
        <v>15</v>
      </c>
      <c r="D214" s="2" t="s">
        <v>46</v>
      </c>
      <c r="E214" s="2" t="s">
        <v>59</v>
      </c>
      <c r="F214" s="2"/>
      <c r="G214" s="16">
        <f>SUM(G215)</f>
        <v>740</v>
      </c>
    </row>
    <row r="215" spans="1:7" s="1" customFormat="1" ht="31.5">
      <c r="A215" s="23" t="s">
        <v>135</v>
      </c>
      <c r="B215" s="2" t="s">
        <v>48</v>
      </c>
      <c r="C215" s="2" t="s">
        <v>15</v>
      </c>
      <c r="D215" s="2" t="s">
        <v>46</v>
      </c>
      <c r="E215" s="2" t="s">
        <v>133</v>
      </c>
      <c r="F215" s="2"/>
      <c r="G215" s="16">
        <f>SUM(G216)</f>
        <v>740</v>
      </c>
    </row>
    <row r="216" spans="1:7" ht="47.25">
      <c r="A216" s="23" t="s">
        <v>355</v>
      </c>
      <c r="B216" s="2" t="s">
        <v>48</v>
      </c>
      <c r="C216" s="2" t="s">
        <v>15</v>
      </c>
      <c r="D216" s="2" t="s">
        <v>46</v>
      </c>
      <c r="E216" s="2" t="s">
        <v>260</v>
      </c>
      <c r="F216" s="2"/>
      <c r="G216" s="16">
        <f>G217</f>
        <v>740</v>
      </c>
    </row>
    <row r="217" spans="1:7" ht="31.5">
      <c r="A217" s="23" t="s">
        <v>35</v>
      </c>
      <c r="B217" s="2" t="s">
        <v>48</v>
      </c>
      <c r="C217" s="2" t="s">
        <v>15</v>
      </c>
      <c r="D217" s="2" t="s">
        <v>46</v>
      </c>
      <c r="E217" s="2" t="s">
        <v>260</v>
      </c>
      <c r="F217" s="2" t="s">
        <v>36</v>
      </c>
      <c r="G217" s="16">
        <v>740</v>
      </c>
    </row>
    <row r="218" spans="1:7" ht="15.75">
      <c r="A218" s="23" t="s">
        <v>60</v>
      </c>
      <c r="B218" s="2" t="s">
        <v>48</v>
      </c>
      <c r="C218" s="2" t="s">
        <v>61</v>
      </c>
      <c r="D218" s="2"/>
      <c r="E218" s="2"/>
      <c r="F218" s="2"/>
      <c r="G218" s="16">
        <f>SUM(G219)</f>
        <v>809.8</v>
      </c>
    </row>
    <row r="219" spans="1:7" ht="15.75">
      <c r="A219" s="23" t="s">
        <v>62</v>
      </c>
      <c r="B219" s="2" t="s">
        <v>48</v>
      </c>
      <c r="C219" s="2" t="s">
        <v>61</v>
      </c>
      <c r="D219" s="2" t="s">
        <v>17</v>
      </c>
      <c r="E219" s="2"/>
      <c r="F219" s="2"/>
      <c r="G219" s="16">
        <f>SUM(G220)</f>
        <v>809.8</v>
      </c>
    </row>
    <row r="220" spans="1:7" ht="31.5">
      <c r="A220" s="23" t="s">
        <v>63</v>
      </c>
      <c r="B220" s="2" t="s">
        <v>48</v>
      </c>
      <c r="C220" s="2" t="s">
        <v>61</v>
      </c>
      <c r="D220" s="2" t="s">
        <v>17</v>
      </c>
      <c r="E220" s="2" t="s">
        <v>64</v>
      </c>
      <c r="F220" s="2"/>
      <c r="G220" s="16">
        <f>SUM(G221)</f>
        <v>809.8</v>
      </c>
    </row>
    <row r="221" spans="1:7" ht="33" customHeight="1">
      <c r="A221" s="23" t="s">
        <v>65</v>
      </c>
      <c r="B221" s="2" t="s">
        <v>48</v>
      </c>
      <c r="C221" s="2" t="s">
        <v>61</v>
      </c>
      <c r="D221" s="2" t="s">
        <v>17</v>
      </c>
      <c r="E221" s="2" t="s">
        <v>66</v>
      </c>
      <c r="F221" s="2"/>
      <c r="G221" s="16">
        <f>SUM(G222)</f>
        <v>809.8</v>
      </c>
    </row>
    <row r="222" spans="1:7" ht="15.75">
      <c r="A222" s="23" t="s">
        <v>67</v>
      </c>
      <c r="B222" s="2" t="s">
        <v>48</v>
      </c>
      <c r="C222" s="2" t="s">
        <v>61</v>
      </c>
      <c r="D222" s="2" t="s">
        <v>17</v>
      </c>
      <c r="E222" s="2" t="s">
        <v>66</v>
      </c>
      <c r="F222" s="2" t="s">
        <v>68</v>
      </c>
      <c r="G222" s="16">
        <f>833.4-23.6</f>
        <v>809.8</v>
      </c>
    </row>
    <row r="223" spans="1:7" s="1" customFormat="1" ht="15.75">
      <c r="A223" s="23" t="s">
        <v>92</v>
      </c>
      <c r="B223" s="2" t="s">
        <v>48</v>
      </c>
      <c r="C223" s="2" t="s">
        <v>31</v>
      </c>
      <c r="D223" s="2"/>
      <c r="E223" s="2"/>
      <c r="F223" s="2"/>
      <c r="G223" s="16">
        <f>SUM(G224)</f>
        <v>15622.1</v>
      </c>
    </row>
    <row r="224" spans="1:7" ht="15.75">
      <c r="A224" s="23" t="s">
        <v>70</v>
      </c>
      <c r="B224" s="2" t="s">
        <v>48</v>
      </c>
      <c r="C224" s="2" t="s">
        <v>31</v>
      </c>
      <c r="D224" s="2" t="s">
        <v>71</v>
      </c>
      <c r="E224" s="2"/>
      <c r="F224" s="2"/>
      <c r="G224" s="16">
        <f>SUM(G225,G229)</f>
        <v>15622.1</v>
      </c>
    </row>
    <row r="225" spans="1:7" ht="15.75">
      <c r="A225" s="23" t="s">
        <v>72</v>
      </c>
      <c r="B225" s="2" t="s">
        <v>48</v>
      </c>
      <c r="C225" s="2" t="s">
        <v>31</v>
      </c>
      <c r="D225" s="2" t="s">
        <v>71</v>
      </c>
      <c r="E225" s="2" t="s">
        <v>73</v>
      </c>
      <c r="F225" s="2"/>
      <c r="G225" s="16">
        <f>SUM(G226)</f>
        <v>12845</v>
      </c>
    </row>
    <row r="226" spans="1:7" ht="47.25">
      <c r="A226" s="23" t="s">
        <v>74</v>
      </c>
      <c r="B226" s="2" t="s">
        <v>48</v>
      </c>
      <c r="C226" s="2" t="s">
        <v>31</v>
      </c>
      <c r="D226" s="2" t="s">
        <v>71</v>
      </c>
      <c r="E226" s="2" t="s">
        <v>75</v>
      </c>
      <c r="F226" s="2"/>
      <c r="G226" s="16">
        <f>SUM(G227:G228)</f>
        <v>12845</v>
      </c>
    </row>
    <row r="227" spans="1:7" s="1" customFormat="1" ht="31.5">
      <c r="A227" s="23" t="s">
        <v>26</v>
      </c>
      <c r="B227" s="2" t="s">
        <v>48</v>
      </c>
      <c r="C227" s="2" t="s">
        <v>31</v>
      </c>
      <c r="D227" s="2" t="s">
        <v>71</v>
      </c>
      <c r="E227" s="2" t="s">
        <v>75</v>
      </c>
      <c r="F227" s="2" t="s">
        <v>27</v>
      </c>
      <c r="G227" s="16">
        <f>433.55154+129.4236</f>
        <v>562.97514</v>
      </c>
    </row>
    <row r="228" spans="1:7" ht="48.75" customHeight="1">
      <c r="A228" s="23" t="s">
        <v>76</v>
      </c>
      <c r="B228" s="2" t="s">
        <v>48</v>
      </c>
      <c r="C228" s="2" t="s">
        <v>31</v>
      </c>
      <c r="D228" s="2" t="s">
        <v>71</v>
      </c>
      <c r="E228" s="2" t="s">
        <v>75</v>
      </c>
      <c r="F228" s="2" t="s">
        <v>77</v>
      </c>
      <c r="G228" s="16">
        <f>12678.44846-125.2-141.8-129.4236</f>
        <v>12282.02486</v>
      </c>
    </row>
    <row r="229" spans="1:7" s="1" customFormat="1" ht="63">
      <c r="A229" s="23" t="s">
        <v>392</v>
      </c>
      <c r="B229" s="2" t="s">
        <v>48</v>
      </c>
      <c r="C229" s="2" t="s">
        <v>31</v>
      </c>
      <c r="D229" s="2" t="s">
        <v>71</v>
      </c>
      <c r="E229" s="2" t="s">
        <v>382</v>
      </c>
      <c r="F229" s="2"/>
      <c r="G229" s="16">
        <f>SUM(G230)</f>
        <v>2777.1</v>
      </c>
    </row>
    <row r="230" spans="1:7" s="1" customFormat="1" ht="47.25" customHeight="1">
      <c r="A230" s="23" t="s">
        <v>76</v>
      </c>
      <c r="B230" s="2" t="s">
        <v>48</v>
      </c>
      <c r="C230" s="2" t="s">
        <v>31</v>
      </c>
      <c r="D230" s="2" t="s">
        <v>71</v>
      </c>
      <c r="E230" s="2" t="s">
        <v>382</v>
      </c>
      <c r="F230" s="2" t="s">
        <v>77</v>
      </c>
      <c r="G230" s="16">
        <v>2777.1</v>
      </c>
    </row>
    <row r="231" spans="1:7" s="1" customFormat="1" ht="15.75">
      <c r="A231" s="23" t="s">
        <v>337</v>
      </c>
      <c r="B231" s="2" t="s">
        <v>48</v>
      </c>
      <c r="C231" s="2" t="s">
        <v>104</v>
      </c>
      <c r="D231" s="2"/>
      <c r="E231" s="2"/>
      <c r="F231" s="2"/>
      <c r="G231" s="16">
        <f>SUM(G232,G239,G242)</f>
        <v>64199.97273</v>
      </c>
    </row>
    <row r="232" spans="1:7" s="1" customFormat="1" ht="15.75">
      <c r="A232" s="23" t="s">
        <v>393</v>
      </c>
      <c r="B232" s="2" t="s">
        <v>48</v>
      </c>
      <c r="C232" s="2" t="s">
        <v>104</v>
      </c>
      <c r="D232" s="2" t="s">
        <v>61</v>
      </c>
      <c r="E232" s="2"/>
      <c r="F232" s="2"/>
      <c r="G232" s="16">
        <f>SUM(G233,G237)</f>
        <v>17700.65</v>
      </c>
    </row>
    <row r="233" spans="1:7" s="1" customFormat="1" ht="15.75">
      <c r="A233" s="23" t="s">
        <v>358</v>
      </c>
      <c r="B233" s="2" t="s">
        <v>48</v>
      </c>
      <c r="C233" s="2" t="s">
        <v>104</v>
      </c>
      <c r="D233" s="2" t="s">
        <v>61</v>
      </c>
      <c r="E233" s="2" t="s">
        <v>359</v>
      </c>
      <c r="F233" s="2"/>
      <c r="G233" s="16">
        <f>SUM(G234)</f>
        <v>17430</v>
      </c>
    </row>
    <row r="234" spans="1:7" s="1" customFormat="1" ht="31.5">
      <c r="A234" s="23" t="s">
        <v>406</v>
      </c>
      <c r="B234" s="2" t="s">
        <v>48</v>
      </c>
      <c r="C234" s="2" t="s">
        <v>104</v>
      </c>
      <c r="D234" s="2" t="s">
        <v>61</v>
      </c>
      <c r="E234" s="2" t="s">
        <v>404</v>
      </c>
      <c r="F234" s="2"/>
      <c r="G234" s="16">
        <f>SUM(G235)</f>
        <v>17430</v>
      </c>
    </row>
    <row r="235" spans="1:7" s="1" customFormat="1" ht="47.25">
      <c r="A235" s="23" t="s">
        <v>425</v>
      </c>
      <c r="B235" s="2" t="s">
        <v>48</v>
      </c>
      <c r="C235" s="2" t="s">
        <v>104</v>
      </c>
      <c r="D235" s="2" t="s">
        <v>61</v>
      </c>
      <c r="E235" s="2" t="s">
        <v>405</v>
      </c>
      <c r="F235" s="2"/>
      <c r="G235" s="16">
        <f>SUM(G236)</f>
        <v>17430</v>
      </c>
    </row>
    <row r="236" spans="1:7" s="1" customFormat="1" ht="47.25">
      <c r="A236" s="23" t="s">
        <v>391</v>
      </c>
      <c r="B236" s="2" t="s">
        <v>48</v>
      </c>
      <c r="C236" s="2" t="s">
        <v>104</v>
      </c>
      <c r="D236" s="2" t="s">
        <v>61</v>
      </c>
      <c r="E236" s="2" t="s">
        <v>405</v>
      </c>
      <c r="F236" s="2" t="s">
        <v>388</v>
      </c>
      <c r="G236" s="16">
        <f>3312+850+13268</f>
        <v>17430</v>
      </c>
    </row>
    <row r="237" spans="1:7" s="1" customFormat="1" ht="31.5">
      <c r="A237" s="23" t="s">
        <v>375</v>
      </c>
      <c r="B237" s="2" t="s">
        <v>48</v>
      </c>
      <c r="C237" s="2" t="s">
        <v>104</v>
      </c>
      <c r="D237" s="2" t="s">
        <v>61</v>
      </c>
      <c r="E237" s="2" t="s">
        <v>383</v>
      </c>
      <c r="F237" s="2"/>
      <c r="G237" s="16">
        <f>SUM(G238)</f>
        <v>270.65</v>
      </c>
    </row>
    <row r="238" spans="1:7" s="1" customFormat="1" ht="15.75">
      <c r="A238" s="23" t="s">
        <v>376</v>
      </c>
      <c r="B238" s="2" t="s">
        <v>48</v>
      </c>
      <c r="C238" s="2" t="s">
        <v>104</v>
      </c>
      <c r="D238" s="2" t="s">
        <v>61</v>
      </c>
      <c r="E238" s="2" t="s">
        <v>383</v>
      </c>
      <c r="F238" s="2" t="s">
        <v>374</v>
      </c>
      <c r="G238" s="16">
        <f>270.65</f>
        <v>270.65</v>
      </c>
    </row>
    <row r="239" spans="1:7" s="1" customFormat="1" ht="15.75">
      <c r="A239" s="23" t="s">
        <v>439</v>
      </c>
      <c r="B239" s="2" t="s">
        <v>48</v>
      </c>
      <c r="C239" s="2" t="s">
        <v>104</v>
      </c>
      <c r="D239" s="2" t="s">
        <v>17</v>
      </c>
      <c r="E239" s="2"/>
      <c r="F239" s="2"/>
      <c r="G239" s="16">
        <f>SUM(G240)</f>
        <v>50</v>
      </c>
    </row>
    <row r="240" spans="1:7" s="1" customFormat="1" ht="31.5">
      <c r="A240" s="23" t="s">
        <v>375</v>
      </c>
      <c r="B240" s="2" t="s">
        <v>48</v>
      </c>
      <c r="C240" s="2" t="s">
        <v>104</v>
      </c>
      <c r="D240" s="2" t="s">
        <v>17</v>
      </c>
      <c r="E240" s="2" t="s">
        <v>383</v>
      </c>
      <c r="F240" s="2"/>
      <c r="G240" s="16">
        <f>SUM(G241)</f>
        <v>50</v>
      </c>
    </row>
    <row r="241" spans="1:7" s="1" customFormat="1" ht="15.75">
      <c r="A241" s="23" t="s">
        <v>376</v>
      </c>
      <c r="B241" s="2" t="s">
        <v>48</v>
      </c>
      <c r="C241" s="2" t="s">
        <v>104</v>
      </c>
      <c r="D241" s="2" t="s">
        <v>17</v>
      </c>
      <c r="E241" s="2" t="s">
        <v>383</v>
      </c>
      <c r="F241" s="2" t="s">
        <v>374</v>
      </c>
      <c r="G241" s="16">
        <v>50</v>
      </c>
    </row>
    <row r="242" spans="1:7" s="1" customFormat="1" ht="31.5">
      <c r="A242" s="23" t="s">
        <v>338</v>
      </c>
      <c r="B242" s="2" t="s">
        <v>48</v>
      </c>
      <c r="C242" s="2" t="s">
        <v>104</v>
      </c>
      <c r="D242" s="2" t="s">
        <v>104</v>
      </c>
      <c r="E242" s="2"/>
      <c r="F242" s="2"/>
      <c r="G242" s="16">
        <f>SUM(G243,G254)</f>
        <v>46449.32273</v>
      </c>
    </row>
    <row r="243" spans="1:7" s="1" customFormat="1" ht="15.75">
      <c r="A243" s="23" t="s">
        <v>72</v>
      </c>
      <c r="B243" s="2" t="s">
        <v>48</v>
      </c>
      <c r="C243" s="2" t="s">
        <v>104</v>
      </c>
      <c r="D243" s="2" t="s">
        <v>104</v>
      </c>
      <c r="E243" s="2" t="s">
        <v>73</v>
      </c>
      <c r="F243" s="2"/>
      <c r="G243" s="16">
        <f>SUM(G244,G249)</f>
        <v>45809.002</v>
      </c>
    </row>
    <row r="244" spans="1:7" s="1" customFormat="1" ht="47.25">
      <c r="A244" s="23" t="s">
        <v>401</v>
      </c>
      <c r="B244" s="2" t="s">
        <v>48</v>
      </c>
      <c r="C244" s="2" t="s">
        <v>104</v>
      </c>
      <c r="D244" s="2" t="s">
        <v>104</v>
      </c>
      <c r="E244" s="2" t="s">
        <v>398</v>
      </c>
      <c r="F244" s="2"/>
      <c r="G244" s="16">
        <f>SUM(G245,G247)</f>
        <v>32676.002</v>
      </c>
    </row>
    <row r="245" spans="1:7" s="1" customFormat="1" ht="48" customHeight="1">
      <c r="A245" s="23" t="s">
        <v>402</v>
      </c>
      <c r="B245" s="2" t="s">
        <v>48</v>
      </c>
      <c r="C245" s="2" t="s">
        <v>104</v>
      </c>
      <c r="D245" s="2" t="s">
        <v>104</v>
      </c>
      <c r="E245" s="2" t="s">
        <v>399</v>
      </c>
      <c r="F245" s="2"/>
      <c r="G245" s="16">
        <f>SUM(G246)</f>
        <v>7099.002</v>
      </c>
    </row>
    <row r="246" spans="1:7" s="1" customFormat="1" ht="47.25">
      <c r="A246" s="23" t="s">
        <v>391</v>
      </c>
      <c r="B246" s="2" t="s">
        <v>48</v>
      </c>
      <c r="C246" s="2" t="s">
        <v>104</v>
      </c>
      <c r="D246" s="2" t="s">
        <v>104</v>
      </c>
      <c r="E246" s="2" t="s">
        <v>399</v>
      </c>
      <c r="F246" s="2" t="s">
        <v>388</v>
      </c>
      <c r="G246" s="16">
        <f>3990+5400-2120-170.998</f>
        <v>7099.002</v>
      </c>
    </row>
    <row r="247" spans="1:7" s="1" customFormat="1" ht="95.25" customHeight="1">
      <c r="A247" s="23" t="s">
        <v>403</v>
      </c>
      <c r="B247" s="2" t="s">
        <v>48</v>
      </c>
      <c r="C247" s="2" t="s">
        <v>104</v>
      </c>
      <c r="D247" s="2" t="s">
        <v>104</v>
      </c>
      <c r="E247" s="2" t="s">
        <v>400</v>
      </c>
      <c r="F247" s="2"/>
      <c r="G247" s="16">
        <f>SUM(G248)</f>
        <v>25577</v>
      </c>
    </row>
    <row r="248" spans="1:7" s="1" customFormat="1" ht="47.25">
      <c r="A248" s="23" t="s">
        <v>391</v>
      </c>
      <c r="B248" s="2" t="s">
        <v>48</v>
      </c>
      <c r="C248" s="2" t="s">
        <v>104</v>
      </c>
      <c r="D248" s="2" t="s">
        <v>104</v>
      </c>
      <c r="E248" s="2" t="s">
        <v>400</v>
      </c>
      <c r="F248" s="2" t="s">
        <v>388</v>
      </c>
      <c r="G248" s="16">
        <f>1735-400+23842+400</f>
        <v>25577</v>
      </c>
    </row>
    <row r="249" spans="1:7" s="1" customFormat="1" ht="31.5">
      <c r="A249" s="23" t="s">
        <v>385</v>
      </c>
      <c r="B249" s="2" t="s">
        <v>48</v>
      </c>
      <c r="C249" s="2" t="s">
        <v>104</v>
      </c>
      <c r="D249" s="2" t="s">
        <v>104</v>
      </c>
      <c r="E249" s="2" t="s">
        <v>384</v>
      </c>
      <c r="F249" s="2"/>
      <c r="G249" s="16">
        <f>SUM(G250,G252)</f>
        <v>13133</v>
      </c>
    </row>
    <row r="250" spans="1:7" s="1" customFormat="1" ht="63">
      <c r="A250" s="23" t="s">
        <v>389</v>
      </c>
      <c r="B250" s="2" t="s">
        <v>48</v>
      </c>
      <c r="C250" s="2" t="s">
        <v>104</v>
      </c>
      <c r="D250" s="2" t="s">
        <v>104</v>
      </c>
      <c r="E250" s="2" t="s">
        <v>386</v>
      </c>
      <c r="F250" s="2"/>
      <c r="G250" s="16">
        <f>SUM(G251)</f>
        <v>12174</v>
      </c>
    </row>
    <row r="251" spans="1:7" s="1" customFormat="1" ht="47.25">
      <c r="A251" s="23" t="s">
        <v>391</v>
      </c>
      <c r="B251" s="2" t="s">
        <v>48</v>
      </c>
      <c r="C251" s="2" t="s">
        <v>104</v>
      </c>
      <c r="D251" s="2" t="s">
        <v>104</v>
      </c>
      <c r="E251" s="2" t="s">
        <v>386</v>
      </c>
      <c r="F251" s="2" t="s">
        <v>388</v>
      </c>
      <c r="G251" s="16">
        <f>3000+9174</f>
        <v>12174</v>
      </c>
    </row>
    <row r="252" spans="1:7" s="1" customFormat="1" ht="31.5">
      <c r="A252" s="23" t="s">
        <v>390</v>
      </c>
      <c r="B252" s="2" t="s">
        <v>48</v>
      </c>
      <c r="C252" s="2" t="s">
        <v>104</v>
      </c>
      <c r="D252" s="2" t="s">
        <v>104</v>
      </c>
      <c r="E252" s="2" t="s">
        <v>387</v>
      </c>
      <c r="F252" s="2"/>
      <c r="G252" s="16">
        <f>SUM(G253)</f>
        <v>959</v>
      </c>
    </row>
    <row r="253" spans="1:7" s="1" customFormat="1" ht="47.25" customHeight="1">
      <c r="A253" s="23" t="s">
        <v>76</v>
      </c>
      <c r="B253" s="2" t="s">
        <v>48</v>
      </c>
      <c r="C253" s="2" t="s">
        <v>104</v>
      </c>
      <c r="D253" s="2" t="s">
        <v>104</v>
      </c>
      <c r="E253" s="2" t="s">
        <v>387</v>
      </c>
      <c r="F253" s="2" t="s">
        <v>77</v>
      </c>
      <c r="G253" s="16">
        <v>959</v>
      </c>
    </row>
    <row r="254" spans="1:7" s="1" customFormat="1" ht="31.5">
      <c r="A254" s="23" t="s">
        <v>375</v>
      </c>
      <c r="B254" s="2" t="s">
        <v>48</v>
      </c>
      <c r="C254" s="2" t="s">
        <v>104</v>
      </c>
      <c r="D254" s="2" t="s">
        <v>104</v>
      </c>
      <c r="E254" s="2" t="s">
        <v>383</v>
      </c>
      <c r="F254" s="2"/>
      <c r="G254" s="16">
        <f>SUM(G255)</f>
        <v>640.32073</v>
      </c>
    </row>
    <row r="255" spans="1:7" s="1" customFormat="1" ht="15.75">
      <c r="A255" s="23" t="s">
        <v>376</v>
      </c>
      <c r="B255" s="2" t="s">
        <v>48</v>
      </c>
      <c r="C255" s="2" t="s">
        <v>104</v>
      </c>
      <c r="D255" s="2" t="s">
        <v>104</v>
      </c>
      <c r="E255" s="2" t="s">
        <v>383</v>
      </c>
      <c r="F255" s="2" t="s">
        <v>374</v>
      </c>
      <c r="G255" s="16">
        <f>229+75.7+211.11+40.93073+83.58</f>
        <v>640.32073</v>
      </c>
    </row>
    <row r="256" spans="1:7" s="1" customFormat="1" ht="15.75">
      <c r="A256" s="23" t="s">
        <v>201</v>
      </c>
      <c r="B256" s="2" t="s">
        <v>48</v>
      </c>
      <c r="C256" s="2" t="s">
        <v>202</v>
      </c>
      <c r="D256" s="2"/>
      <c r="E256" s="2"/>
      <c r="F256" s="2"/>
      <c r="G256" s="16">
        <f>SUM(G257)</f>
        <v>246</v>
      </c>
    </row>
    <row r="257" spans="1:7" s="1" customFormat="1" ht="15.75">
      <c r="A257" s="23" t="s">
        <v>203</v>
      </c>
      <c r="B257" s="2" t="s">
        <v>48</v>
      </c>
      <c r="C257" s="2" t="s">
        <v>202</v>
      </c>
      <c r="D257" s="2" t="s">
        <v>15</v>
      </c>
      <c r="E257" s="2"/>
      <c r="F257" s="2"/>
      <c r="G257" s="16">
        <f>SUM(G258,G264)</f>
        <v>246</v>
      </c>
    </row>
    <row r="258" spans="1:7" s="1" customFormat="1" ht="31.5">
      <c r="A258" s="23" t="s">
        <v>204</v>
      </c>
      <c r="B258" s="2" t="s">
        <v>48</v>
      </c>
      <c r="C258" s="2" t="s">
        <v>202</v>
      </c>
      <c r="D258" s="2" t="s">
        <v>15</v>
      </c>
      <c r="E258" s="2" t="s">
        <v>205</v>
      </c>
      <c r="F258" s="2"/>
      <c r="G258" s="16">
        <f>SUM(G259)</f>
        <v>150</v>
      </c>
    </row>
    <row r="259" spans="1:7" s="1" customFormat="1" ht="48" customHeight="1">
      <c r="A259" s="23" t="s">
        <v>457</v>
      </c>
      <c r="B259" s="2" t="s">
        <v>48</v>
      </c>
      <c r="C259" s="2" t="s">
        <v>202</v>
      </c>
      <c r="D259" s="2" t="s">
        <v>15</v>
      </c>
      <c r="E259" s="2" t="s">
        <v>454</v>
      </c>
      <c r="F259" s="2"/>
      <c r="G259" s="16">
        <f>SUM(G260,G262)</f>
        <v>150</v>
      </c>
    </row>
    <row r="260" spans="1:7" s="1" customFormat="1" ht="47.25">
      <c r="A260" s="23" t="s">
        <v>458</v>
      </c>
      <c r="B260" s="2" t="s">
        <v>48</v>
      </c>
      <c r="C260" s="2" t="s">
        <v>202</v>
      </c>
      <c r="D260" s="2" t="s">
        <v>15</v>
      </c>
      <c r="E260" s="2" t="s">
        <v>455</v>
      </c>
      <c r="F260" s="2"/>
      <c r="G260" s="16">
        <f>SUM(G261)</f>
        <v>100</v>
      </c>
    </row>
    <row r="261" spans="1:7" s="1" customFormat="1" ht="15.75">
      <c r="A261" s="23" t="s">
        <v>376</v>
      </c>
      <c r="B261" s="2" t="s">
        <v>48</v>
      </c>
      <c r="C261" s="2" t="s">
        <v>202</v>
      </c>
      <c r="D261" s="2" t="s">
        <v>15</v>
      </c>
      <c r="E261" s="2" t="s">
        <v>455</v>
      </c>
      <c r="F261" s="2" t="s">
        <v>374</v>
      </c>
      <c r="G261" s="16">
        <v>100</v>
      </c>
    </row>
    <row r="262" spans="1:7" s="1" customFormat="1" ht="47.25">
      <c r="A262" s="23" t="s">
        <v>459</v>
      </c>
      <c r="B262" s="2" t="s">
        <v>48</v>
      </c>
      <c r="C262" s="2" t="s">
        <v>202</v>
      </c>
      <c r="D262" s="2" t="s">
        <v>15</v>
      </c>
      <c r="E262" s="2" t="s">
        <v>456</v>
      </c>
      <c r="F262" s="2"/>
      <c r="G262" s="16">
        <f>SUM(G263)</f>
        <v>50</v>
      </c>
    </row>
    <row r="263" spans="1:7" s="1" customFormat="1" ht="15.75">
      <c r="A263" s="23" t="s">
        <v>376</v>
      </c>
      <c r="B263" s="2" t="s">
        <v>48</v>
      </c>
      <c r="C263" s="2" t="s">
        <v>202</v>
      </c>
      <c r="D263" s="2" t="s">
        <v>15</v>
      </c>
      <c r="E263" s="2" t="s">
        <v>456</v>
      </c>
      <c r="F263" s="2" t="s">
        <v>374</v>
      </c>
      <c r="G263" s="16">
        <v>50</v>
      </c>
    </row>
    <row r="264" spans="1:7" s="1" customFormat="1" ht="31.5">
      <c r="A264" s="23" t="s">
        <v>375</v>
      </c>
      <c r="B264" s="2" t="s">
        <v>48</v>
      </c>
      <c r="C264" s="2" t="s">
        <v>202</v>
      </c>
      <c r="D264" s="2" t="s">
        <v>15</v>
      </c>
      <c r="E264" s="2" t="s">
        <v>383</v>
      </c>
      <c r="F264" s="2"/>
      <c r="G264" s="16">
        <f>SUM(G265)</f>
        <v>96</v>
      </c>
    </row>
    <row r="265" spans="1:7" s="1" customFormat="1" ht="15.75">
      <c r="A265" s="23" t="s">
        <v>376</v>
      </c>
      <c r="B265" s="2" t="s">
        <v>48</v>
      </c>
      <c r="C265" s="2" t="s">
        <v>202</v>
      </c>
      <c r="D265" s="2" t="s">
        <v>15</v>
      </c>
      <c r="E265" s="2" t="s">
        <v>383</v>
      </c>
      <c r="F265" s="2" t="s">
        <v>374</v>
      </c>
      <c r="G265" s="16">
        <f>96</f>
        <v>96</v>
      </c>
    </row>
    <row r="266" spans="1:7" ht="47.25">
      <c r="A266" s="23" t="s">
        <v>78</v>
      </c>
      <c r="B266" s="2" t="s">
        <v>48</v>
      </c>
      <c r="C266" s="2" t="s">
        <v>79</v>
      </c>
      <c r="D266" s="2"/>
      <c r="E266" s="2"/>
      <c r="F266" s="2"/>
      <c r="G266" s="16">
        <f>SUM(G267,G273)</f>
        <v>17233.928</v>
      </c>
    </row>
    <row r="267" spans="1:7" ht="47.25">
      <c r="A267" s="23" t="s">
        <v>80</v>
      </c>
      <c r="B267" s="2" t="s">
        <v>48</v>
      </c>
      <c r="C267" s="2" t="s">
        <v>79</v>
      </c>
      <c r="D267" s="2" t="s">
        <v>15</v>
      </c>
      <c r="E267" s="2"/>
      <c r="F267" s="2"/>
      <c r="G267" s="16">
        <f>SUM(G268)</f>
        <v>11717.529999999999</v>
      </c>
    </row>
    <row r="268" spans="1:7" ht="15.75">
      <c r="A268" s="23" t="s">
        <v>81</v>
      </c>
      <c r="B268" s="2" t="s">
        <v>48</v>
      </c>
      <c r="C268" s="2" t="s">
        <v>79</v>
      </c>
      <c r="D268" s="2" t="s">
        <v>15</v>
      </c>
      <c r="E268" s="2" t="s">
        <v>82</v>
      </c>
      <c r="F268" s="2"/>
      <c r="G268" s="16">
        <f>SUM(G269)</f>
        <v>11717.529999999999</v>
      </c>
    </row>
    <row r="269" spans="1:7" ht="15.75">
      <c r="A269" s="23" t="s">
        <v>81</v>
      </c>
      <c r="B269" s="2" t="s">
        <v>48</v>
      </c>
      <c r="C269" s="2" t="s">
        <v>79</v>
      </c>
      <c r="D269" s="2" t="s">
        <v>15</v>
      </c>
      <c r="E269" s="2" t="s">
        <v>83</v>
      </c>
      <c r="F269" s="2"/>
      <c r="G269" s="16">
        <f>SUM(G270)</f>
        <v>11717.529999999999</v>
      </c>
    </row>
    <row r="270" spans="1:7" ht="47.25">
      <c r="A270" s="23" t="s">
        <v>84</v>
      </c>
      <c r="B270" s="2" t="s">
        <v>48</v>
      </c>
      <c r="C270" s="2" t="s">
        <v>79</v>
      </c>
      <c r="D270" s="2" t="s">
        <v>15</v>
      </c>
      <c r="E270" s="2" t="s">
        <v>85</v>
      </c>
      <c r="F270" s="2"/>
      <c r="G270" s="16">
        <f>SUM(G271)</f>
        <v>11717.529999999999</v>
      </c>
    </row>
    <row r="271" spans="1:7" ht="47.25">
      <c r="A271" s="23" t="s">
        <v>80</v>
      </c>
      <c r="B271" s="2" t="s">
        <v>48</v>
      </c>
      <c r="C271" s="2" t="s">
        <v>79</v>
      </c>
      <c r="D271" s="2" t="s">
        <v>15</v>
      </c>
      <c r="E271" s="2" t="s">
        <v>85</v>
      </c>
      <c r="F271" s="2" t="s">
        <v>86</v>
      </c>
      <c r="G271" s="16">
        <f>6700+5017.53</f>
        <v>11717.529999999999</v>
      </c>
    </row>
    <row r="272" spans="1:7" ht="63.75" customHeight="1">
      <c r="A272" s="36" t="s">
        <v>87</v>
      </c>
      <c r="B272" s="2"/>
      <c r="C272" s="2"/>
      <c r="D272" s="2"/>
      <c r="E272" s="2"/>
      <c r="F272" s="2"/>
      <c r="G272" s="16">
        <v>5017.53</v>
      </c>
    </row>
    <row r="273" spans="1:7" ht="31.5">
      <c r="A273" s="23" t="s">
        <v>88</v>
      </c>
      <c r="B273" s="2" t="s">
        <v>48</v>
      </c>
      <c r="C273" s="2" t="s">
        <v>79</v>
      </c>
      <c r="D273" s="2" t="s">
        <v>17</v>
      </c>
      <c r="E273" s="2"/>
      <c r="F273" s="2"/>
      <c r="G273" s="16">
        <f>SUM(G274,G278)</f>
        <v>5516.397999999999</v>
      </c>
    </row>
    <row r="274" spans="1:7" s="1" customFormat="1" ht="15.75">
      <c r="A274" s="23" t="s">
        <v>333</v>
      </c>
      <c r="B274" s="2" t="s">
        <v>48</v>
      </c>
      <c r="C274" s="2" t="s">
        <v>79</v>
      </c>
      <c r="D274" s="2" t="s">
        <v>17</v>
      </c>
      <c r="E274" s="2" t="s">
        <v>329</v>
      </c>
      <c r="F274" s="2"/>
      <c r="G274" s="16">
        <f>SUM(G275)</f>
        <v>19.998</v>
      </c>
    </row>
    <row r="275" spans="1:7" s="1" customFormat="1" ht="15.75">
      <c r="A275" s="23" t="s">
        <v>335</v>
      </c>
      <c r="B275" s="2" t="s">
        <v>48</v>
      </c>
      <c r="C275" s="2" t="s">
        <v>79</v>
      </c>
      <c r="D275" s="2" t="s">
        <v>17</v>
      </c>
      <c r="E275" s="2" t="s">
        <v>330</v>
      </c>
      <c r="F275" s="2"/>
      <c r="G275" s="16">
        <f>SUM(G276)</f>
        <v>19.998</v>
      </c>
    </row>
    <row r="276" spans="1:7" s="1" customFormat="1" ht="31.5">
      <c r="A276" s="23" t="s">
        <v>334</v>
      </c>
      <c r="B276" s="2" t="s">
        <v>48</v>
      </c>
      <c r="C276" s="2" t="s">
        <v>79</v>
      </c>
      <c r="D276" s="2" t="s">
        <v>17</v>
      </c>
      <c r="E276" s="2" t="s">
        <v>331</v>
      </c>
      <c r="F276" s="2"/>
      <c r="G276" s="16">
        <f>SUM(G277)</f>
        <v>19.998</v>
      </c>
    </row>
    <row r="277" spans="1:7" s="1" customFormat="1" ht="15.75">
      <c r="A277" s="23" t="s">
        <v>376</v>
      </c>
      <c r="B277" s="2" t="s">
        <v>48</v>
      </c>
      <c r="C277" s="2" t="s">
        <v>79</v>
      </c>
      <c r="D277" s="2" t="s">
        <v>17</v>
      </c>
      <c r="E277" s="2" t="s">
        <v>331</v>
      </c>
      <c r="F277" s="2" t="s">
        <v>374</v>
      </c>
      <c r="G277" s="16">
        <v>19.998</v>
      </c>
    </row>
    <row r="278" spans="1:7" ht="63">
      <c r="A278" s="23" t="s">
        <v>89</v>
      </c>
      <c r="B278" s="2" t="s">
        <v>48</v>
      </c>
      <c r="C278" s="2" t="s">
        <v>79</v>
      </c>
      <c r="D278" s="2" t="s">
        <v>17</v>
      </c>
      <c r="E278" s="2" t="s">
        <v>90</v>
      </c>
      <c r="F278" s="2"/>
      <c r="G278" s="16">
        <f>SUM(G279)</f>
        <v>5496.4</v>
      </c>
    </row>
    <row r="279" spans="1:7" ht="144" customHeight="1">
      <c r="A279" s="35" t="s">
        <v>438</v>
      </c>
      <c r="B279" s="2" t="s">
        <v>48</v>
      </c>
      <c r="C279" s="2" t="s">
        <v>79</v>
      </c>
      <c r="D279" s="2" t="s">
        <v>17</v>
      </c>
      <c r="E279" s="2" t="s">
        <v>91</v>
      </c>
      <c r="F279" s="2"/>
      <c r="G279" s="16">
        <f>SUM(G280)</f>
        <v>5496.4</v>
      </c>
    </row>
    <row r="280" spans="1:7" ht="49.5" customHeight="1">
      <c r="A280" s="23" t="s">
        <v>76</v>
      </c>
      <c r="B280" s="2" t="s">
        <v>48</v>
      </c>
      <c r="C280" s="2" t="s">
        <v>79</v>
      </c>
      <c r="D280" s="2" t="s">
        <v>17</v>
      </c>
      <c r="E280" s="2" t="s">
        <v>91</v>
      </c>
      <c r="F280" s="2" t="s">
        <v>77</v>
      </c>
      <c r="G280" s="16">
        <f>4626.4+200+350+320</f>
        <v>5496.4</v>
      </c>
    </row>
    <row r="281" spans="1:7" ht="63">
      <c r="A281" s="22" t="s">
        <v>93</v>
      </c>
      <c r="B281" s="6" t="s">
        <v>94</v>
      </c>
      <c r="C281" s="6"/>
      <c r="D281" s="6"/>
      <c r="E281" s="6"/>
      <c r="F281" s="6"/>
      <c r="G281" s="15">
        <f>SUM(G282)</f>
        <v>2338.88</v>
      </c>
    </row>
    <row r="282" spans="1:7" ht="15.75">
      <c r="A282" s="23" t="s">
        <v>14</v>
      </c>
      <c r="B282" s="2" t="s">
        <v>94</v>
      </c>
      <c r="C282" s="2" t="s">
        <v>15</v>
      </c>
      <c r="D282" s="2"/>
      <c r="E282" s="2"/>
      <c r="F282" s="2"/>
      <c r="G282" s="16">
        <f>SUM(G283)</f>
        <v>2338.88</v>
      </c>
    </row>
    <row r="283" spans="1:7" ht="15.75">
      <c r="A283" s="23" t="s">
        <v>45</v>
      </c>
      <c r="B283" s="2" t="s">
        <v>94</v>
      </c>
      <c r="C283" s="2" t="s">
        <v>15</v>
      </c>
      <c r="D283" s="2" t="s">
        <v>46</v>
      </c>
      <c r="E283" s="2"/>
      <c r="F283" s="2"/>
      <c r="G283" s="16">
        <f>SUM(G284,G293)</f>
        <v>2338.88</v>
      </c>
    </row>
    <row r="284" spans="1:7" ht="63">
      <c r="A284" s="23" t="s">
        <v>18</v>
      </c>
      <c r="B284" s="2" t="s">
        <v>94</v>
      </c>
      <c r="C284" s="2" t="s">
        <v>15</v>
      </c>
      <c r="D284" s="2" t="s">
        <v>46</v>
      </c>
      <c r="E284" s="2" t="s">
        <v>19</v>
      </c>
      <c r="F284" s="2"/>
      <c r="G284" s="16">
        <f>SUM(G285)</f>
        <v>1529.4</v>
      </c>
    </row>
    <row r="285" spans="1:7" ht="15.75">
      <c r="A285" s="23" t="s">
        <v>20</v>
      </c>
      <c r="B285" s="2" t="s">
        <v>94</v>
      </c>
      <c r="C285" s="2" t="s">
        <v>15</v>
      </c>
      <c r="D285" s="2" t="s">
        <v>46</v>
      </c>
      <c r="E285" s="2" t="s">
        <v>21</v>
      </c>
      <c r="F285" s="2"/>
      <c r="G285" s="16">
        <f>SUM(G286:G288,G291:G292)</f>
        <v>1529.4</v>
      </c>
    </row>
    <row r="286" spans="1:7" ht="15.75">
      <c r="A286" s="23" t="s">
        <v>22</v>
      </c>
      <c r="B286" s="2" t="s">
        <v>94</v>
      </c>
      <c r="C286" s="2" t="s">
        <v>15</v>
      </c>
      <c r="D286" s="2" t="s">
        <v>46</v>
      </c>
      <c r="E286" s="2" t="s">
        <v>21</v>
      </c>
      <c r="F286" s="2" t="s">
        <v>23</v>
      </c>
      <c r="G286" s="16">
        <v>1364.4</v>
      </c>
    </row>
    <row r="287" spans="1:7" ht="31.5">
      <c r="A287" s="23" t="s">
        <v>35</v>
      </c>
      <c r="B287" s="2" t="s">
        <v>94</v>
      </c>
      <c r="C287" s="2" t="s">
        <v>15</v>
      </c>
      <c r="D287" s="2" t="s">
        <v>46</v>
      </c>
      <c r="E287" s="2" t="s">
        <v>21</v>
      </c>
      <c r="F287" s="2" t="s">
        <v>36</v>
      </c>
      <c r="G287" s="16">
        <v>127.5</v>
      </c>
    </row>
    <row r="288" spans="1:7" ht="31.5">
      <c r="A288" s="23" t="s">
        <v>26</v>
      </c>
      <c r="B288" s="2" t="s">
        <v>94</v>
      </c>
      <c r="C288" s="2" t="s">
        <v>15</v>
      </c>
      <c r="D288" s="2" t="s">
        <v>46</v>
      </c>
      <c r="E288" s="2" t="s">
        <v>21</v>
      </c>
      <c r="F288" s="2" t="s">
        <v>27</v>
      </c>
      <c r="G288" s="16">
        <v>34</v>
      </c>
    </row>
    <row r="289" spans="1:7" ht="15.75">
      <c r="A289" s="32" t="s">
        <v>28</v>
      </c>
      <c r="B289" s="7"/>
      <c r="C289" s="7"/>
      <c r="D289" s="7"/>
      <c r="E289" s="7"/>
      <c r="F289" s="7"/>
      <c r="G289" s="18"/>
    </row>
    <row r="290" spans="1:7" ht="81" customHeight="1">
      <c r="A290" s="37" t="s">
        <v>95</v>
      </c>
      <c r="B290" s="8"/>
      <c r="C290" s="8"/>
      <c r="D290" s="8"/>
      <c r="E290" s="8"/>
      <c r="F290" s="8"/>
      <c r="G290" s="20">
        <v>16.5</v>
      </c>
    </row>
    <row r="291" spans="1:7" ht="31.5">
      <c r="A291" s="38" t="s">
        <v>96</v>
      </c>
      <c r="B291" s="2" t="s">
        <v>94</v>
      </c>
      <c r="C291" s="2" t="s">
        <v>15</v>
      </c>
      <c r="D291" s="2" t="s">
        <v>46</v>
      </c>
      <c r="E291" s="2" t="s">
        <v>21</v>
      </c>
      <c r="F291" s="8" t="s">
        <v>40</v>
      </c>
      <c r="G291" s="20">
        <v>3</v>
      </c>
    </row>
    <row r="292" spans="1:7" ht="31.5">
      <c r="A292" s="38" t="s">
        <v>97</v>
      </c>
      <c r="B292" s="2" t="s">
        <v>94</v>
      </c>
      <c r="C292" s="2" t="s">
        <v>15</v>
      </c>
      <c r="D292" s="2" t="s">
        <v>46</v>
      </c>
      <c r="E292" s="2" t="s">
        <v>21</v>
      </c>
      <c r="F292" s="8" t="s">
        <v>42</v>
      </c>
      <c r="G292" s="20">
        <v>0.5</v>
      </c>
    </row>
    <row r="293" spans="1:7" ht="47.25" customHeight="1">
      <c r="A293" s="23" t="s">
        <v>98</v>
      </c>
      <c r="B293" s="2" t="s">
        <v>94</v>
      </c>
      <c r="C293" s="2" t="s">
        <v>15</v>
      </c>
      <c r="D293" s="2" t="s">
        <v>46</v>
      </c>
      <c r="E293" s="2" t="s">
        <v>99</v>
      </c>
      <c r="F293" s="2"/>
      <c r="G293" s="16">
        <f>SUM(G294)</f>
        <v>809.48</v>
      </c>
    </row>
    <row r="294" spans="1:7" ht="47.25">
      <c r="A294" s="23" t="s">
        <v>100</v>
      </c>
      <c r="B294" s="2" t="s">
        <v>94</v>
      </c>
      <c r="C294" s="2" t="s">
        <v>15</v>
      </c>
      <c r="D294" s="2" t="s">
        <v>46</v>
      </c>
      <c r="E294" s="2" t="s">
        <v>101</v>
      </c>
      <c r="F294" s="2"/>
      <c r="G294" s="16">
        <f>SUM(G295:G296)</f>
        <v>809.48</v>
      </c>
    </row>
    <row r="295" spans="1:7" ht="31.5">
      <c r="A295" s="23" t="s">
        <v>26</v>
      </c>
      <c r="B295" s="2" t="s">
        <v>94</v>
      </c>
      <c r="C295" s="2" t="s">
        <v>15</v>
      </c>
      <c r="D295" s="2" t="s">
        <v>46</v>
      </c>
      <c r="E295" s="2" t="s">
        <v>101</v>
      </c>
      <c r="F295" s="2" t="s">
        <v>27</v>
      </c>
      <c r="G295" s="16">
        <f>822-40.52</f>
        <v>781.48</v>
      </c>
    </row>
    <row r="296" spans="1:7" ht="31.5">
      <c r="A296" s="38" t="s">
        <v>97</v>
      </c>
      <c r="B296" s="2" t="s">
        <v>94</v>
      </c>
      <c r="C296" s="2" t="s">
        <v>15</v>
      </c>
      <c r="D296" s="2" t="s">
        <v>46</v>
      </c>
      <c r="E296" s="2" t="s">
        <v>101</v>
      </c>
      <c r="F296" s="2" t="s">
        <v>42</v>
      </c>
      <c r="G296" s="16">
        <v>28</v>
      </c>
    </row>
    <row r="297" spans="1:7" s="1" customFormat="1" ht="47.25">
      <c r="A297" s="22" t="s">
        <v>192</v>
      </c>
      <c r="B297" s="6" t="s">
        <v>193</v>
      </c>
      <c r="C297" s="6"/>
      <c r="D297" s="6"/>
      <c r="E297" s="6"/>
      <c r="F297" s="6"/>
      <c r="G297" s="15">
        <f>SUM(G298,G306,G361)</f>
        <v>14566.45</v>
      </c>
    </row>
    <row r="298" spans="1:7" s="1" customFormat="1" ht="15.75">
      <c r="A298" s="23" t="s">
        <v>159</v>
      </c>
      <c r="B298" s="2" t="s">
        <v>193</v>
      </c>
      <c r="C298" s="2" t="s">
        <v>117</v>
      </c>
      <c r="D298" s="2"/>
      <c r="E298" s="2"/>
      <c r="F298" s="2"/>
      <c r="G298" s="16">
        <f>SUM(G299)</f>
        <v>2164.294</v>
      </c>
    </row>
    <row r="299" spans="1:7" s="1" customFormat="1" ht="15.75">
      <c r="A299" s="23" t="s">
        <v>194</v>
      </c>
      <c r="B299" s="2" t="s">
        <v>193</v>
      </c>
      <c r="C299" s="2" t="s">
        <v>117</v>
      </c>
      <c r="D299" s="2" t="s">
        <v>61</v>
      </c>
      <c r="E299" s="2"/>
      <c r="F299" s="2"/>
      <c r="G299" s="16">
        <f>SUM(G300,G303)</f>
        <v>2164.294</v>
      </c>
    </row>
    <row r="300" spans="1:7" s="1" customFormat="1" ht="15.75">
      <c r="A300" s="23" t="s">
        <v>195</v>
      </c>
      <c r="B300" s="2" t="s">
        <v>193</v>
      </c>
      <c r="C300" s="2" t="s">
        <v>117</v>
      </c>
      <c r="D300" s="2" t="s">
        <v>61</v>
      </c>
      <c r="E300" s="2" t="s">
        <v>196</v>
      </c>
      <c r="F300" s="2"/>
      <c r="G300" s="16">
        <f>SUM(G301)</f>
        <v>106.7</v>
      </c>
    </row>
    <row r="301" spans="1:7" s="1" customFormat="1" ht="15.75" customHeight="1">
      <c r="A301" s="23" t="s">
        <v>197</v>
      </c>
      <c r="B301" s="2" t="s">
        <v>193</v>
      </c>
      <c r="C301" s="2" t="s">
        <v>117</v>
      </c>
      <c r="D301" s="2" t="s">
        <v>61</v>
      </c>
      <c r="E301" s="2" t="s">
        <v>198</v>
      </c>
      <c r="F301" s="2"/>
      <c r="G301" s="16">
        <f>SUM(G302)</f>
        <v>106.7</v>
      </c>
    </row>
    <row r="302" spans="1:7" s="1" customFormat="1" ht="49.5" customHeight="1">
      <c r="A302" s="23" t="s">
        <v>199</v>
      </c>
      <c r="B302" s="2" t="s">
        <v>193</v>
      </c>
      <c r="C302" s="2" t="s">
        <v>117</v>
      </c>
      <c r="D302" s="2" t="s">
        <v>61</v>
      </c>
      <c r="E302" s="2" t="s">
        <v>198</v>
      </c>
      <c r="F302" s="2" t="s">
        <v>200</v>
      </c>
      <c r="G302" s="16">
        <v>106.7</v>
      </c>
    </row>
    <row r="303" spans="1:7" s="1" customFormat="1" ht="63">
      <c r="A303" s="35" t="s">
        <v>89</v>
      </c>
      <c r="B303" s="2" t="s">
        <v>193</v>
      </c>
      <c r="C303" s="2" t="s">
        <v>117</v>
      </c>
      <c r="D303" s="2" t="s">
        <v>61</v>
      </c>
      <c r="E303" s="2" t="s">
        <v>90</v>
      </c>
      <c r="F303" s="2"/>
      <c r="G303" s="16">
        <f>SUM(G304)</f>
        <v>2057.594</v>
      </c>
    </row>
    <row r="304" spans="1:7" s="1" customFormat="1" ht="147" customHeight="1">
      <c r="A304" s="35" t="s">
        <v>438</v>
      </c>
      <c r="B304" s="2" t="s">
        <v>193</v>
      </c>
      <c r="C304" s="2" t="s">
        <v>117</v>
      </c>
      <c r="D304" s="2" t="s">
        <v>61</v>
      </c>
      <c r="E304" s="2" t="s">
        <v>91</v>
      </c>
      <c r="F304" s="2"/>
      <c r="G304" s="16">
        <f>SUM(G305)</f>
        <v>2057.594</v>
      </c>
    </row>
    <row r="305" spans="1:7" s="1" customFormat="1" ht="47.25" customHeight="1">
      <c r="A305" s="23" t="s">
        <v>199</v>
      </c>
      <c r="B305" s="2" t="s">
        <v>193</v>
      </c>
      <c r="C305" s="2" t="s">
        <v>117</v>
      </c>
      <c r="D305" s="2" t="s">
        <v>61</v>
      </c>
      <c r="E305" s="2" t="s">
        <v>91</v>
      </c>
      <c r="F305" s="2" t="s">
        <v>200</v>
      </c>
      <c r="G305" s="16">
        <f>2244.9-212.306+25</f>
        <v>2057.594</v>
      </c>
    </row>
    <row r="306" spans="1:7" s="1" customFormat="1" ht="15.75">
      <c r="A306" s="23" t="s">
        <v>201</v>
      </c>
      <c r="B306" s="2" t="s">
        <v>193</v>
      </c>
      <c r="C306" s="2" t="s">
        <v>202</v>
      </c>
      <c r="D306" s="2"/>
      <c r="E306" s="2"/>
      <c r="F306" s="2"/>
      <c r="G306" s="16">
        <f>SUM(G307,G342)</f>
        <v>12402.156</v>
      </c>
    </row>
    <row r="307" spans="1:7" s="1" customFormat="1" ht="15.75">
      <c r="A307" s="23" t="s">
        <v>203</v>
      </c>
      <c r="B307" s="2" t="s">
        <v>193</v>
      </c>
      <c r="C307" s="2" t="s">
        <v>202</v>
      </c>
      <c r="D307" s="2" t="s">
        <v>15</v>
      </c>
      <c r="E307" s="2"/>
      <c r="F307" s="2"/>
      <c r="G307" s="16">
        <f>SUM(G308,G317,G327,G332,G336)</f>
        <v>10451.706</v>
      </c>
    </row>
    <row r="308" spans="1:7" s="1" customFormat="1" ht="31.5">
      <c r="A308" s="23" t="s">
        <v>204</v>
      </c>
      <c r="B308" s="2" t="s">
        <v>193</v>
      </c>
      <c r="C308" s="2" t="s">
        <v>202</v>
      </c>
      <c r="D308" s="2" t="s">
        <v>15</v>
      </c>
      <c r="E308" s="2" t="s">
        <v>205</v>
      </c>
      <c r="F308" s="2"/>
      <c r="G308" s="16">
        <f>SUM(G309,G311,G313)</f>
        <v>2710.55</v>
      </c>
    </row>
    <row r="309" spans="1:7" s="1" customFormat="1" ht="47.25">
      <c r="A309" s="23" t="s">
        <v>206</v>
      </c>
      <c r="B309" s="2" t="s">
        <v>193</v>
      </c>
      <c r="C309" s="2" t="s">
        <v>202</v>
      </c>
      <c r="D309" s="2" t="s">
        <v>15</v>
      </c>
      <c r="E309" s="2" t="s">
        <v>207</v>
      </c>
      <c r="F309" s="2"/>
      <c r="G309" s="16">
        <f>SUM(G310)</f>
        <v>106.6</v>
      </c>
    </row>
    <row r="310" spans="1:7" s="1" customFormat="1" ht="31.5">
      <c r="A310" s="23" t="s">
        <v>26</v>
      </c>
      <c r="B310" s="2" t="s">
        <v>193</v>
      </c>
      <c r="C310" s="2" t="s">
        <v>202</v>
      </c>
      <c r="D310" s="2" t="s">
        <v>15</v>
      </c>
      <c r="E310" s="2" t="s">
        <v>207</v>
      </c>
      <c r="F310" s="2" t="s">
        <v>27</v>
      </c>
      <c r="G310" s="16">
        <v>106.6</v>
      </c>
    </row>
    <row r="311" spans="1:7" s="1" customFormat="1" ht="31.5">
      <c r="A311" s="23" t="s">
        <v>432</v>
      </c>
      <c r="B311" s="2" t="s">
        <v>193</v>
      </c>
      <c r="C311" s="2" t="s">
        <v>202</v>
      </c>
      <c r="D311" s="2" t="s">
        <v>15</v>
      </c>
      <c r="E311" s="2" t="s">
        <v>431</v>
      </c>
      <c r="F311" s="2"/>
      <c r="G311" s="16">
        <f>SUM(G312)</f>
        <v>89.3</v>
      </c>
    </row>
    <row r="312" spans="1:7" s="1" customFormat="1" ht="31.5">
      <c r="A312" s="23" t="s">
        <v>35</v>
      </c>
      <c r="B312" s="2" t="s">
        <v>193</v>
      </c>
      <c r="C312" s="2" t="s">
        <v>202</v>
      </c>
      <c r="D312" s="2" t="s">
        <v>15</v>
      </c>
      <c r="E312" s="2" t="s">
        <v>431</v>
      </c>
      <c r="F312" s="2" t="s">
        <v>36</v>
      </c>
      <c r="G312" s="16">
        <f>27.7+61.6</f>
        <v>89.3</v>
      </c>
    </row>
    <row r="313" spans="1:7" s="1" customFormat="1" ht="16.5" customHeight="1">
      <c r="A313" s="23" t="s">
        <v>197</v>
      </c>
      <c r="B313" s="2" t="s">
        <v>193</v>
      </c>
      <c r="C313" s="2" t="s">
        <v>202</v>
      </c>
      <c r="D313" s="2" t="s">
        <v>15</v>
      </c>
      <c r="E313" s="2" t="s">
        <v>208</v>
      </c>
      <c r="F313" s="2"/>
      <c r="G313" s="16">
        <f>SUM(G315:G316)</f>
        <v>2514.65</v>
      </c>
    </row>
    <row r="314" spans="1:7" s="1" customFormat="1" ht="110.25">
      <c r="A314" s="40" t="s">
        <v>209</v>
      </c>
      <c r="B314" s="2"/>
      <c r="C314" s="2"/>
      <c r="D314" s="2"/>
      <c r="E314" s="2"/>
      <c r="F314" s="2"/>
      <c r="G314" s="16">
        <v>1923.7</v>
      </c>
    </row>
    <row r="315" spans="1:7" s="1" customFormat="1" ht="51" customHeight="1">
      <c r="A315" s="23" t="s">
        <v>199</v>
      </c>
      <c r="B315" s="2" t="s">
        <v>193</v>
      </c>
      <c r="C315" s="2" t="s">
        <v>202</v>
      </c>
      <c r="D315" s="2" t="s">
        <v>15</v>
      </c>
      <c r="E315" s="2" t="s">
        <v>208</v>
      </c>
      <c r="F315" s="2" t="s">
        <v>200</v>
      </c>
      <c r="G315" s="16">
        <f>1923.7-880+200+125.2+39.779+190.75+10</f>
        <v>1609.429</v>
      </c>
    </row>
    <row r="316" spans="1:7" s="1" customFormat="1" ht="15.75" customHeight="1">
      <c r="A316" s="23" t="s">
        <v>210</v>
      </c>
      <c r="B316" s="2" t="s">
        <v>193</v>
      </c>
      <c r="C316" s="2" t="s">
        <v>202</v>
      </c>
      <c r="D316" s="2" t="s">
        <v>15</v>
      </c>
      <c r="E316" s="2" t="s">
        <v>208</v>
      </c>
      <c r="F316" s="2" t="s">
        <v>211</v>
      </c>
      <c r="G316" s="16">
        <f>65+880-39.779</f>
        <v>905.221</v>
      </c>
    </row>
    <row r="317" spans="1:7" s="1" customFormat="1" ht="15.75">
      <c r="A317" s="23" t="s">
        <v>212</v>
      </c>
      <c r="B317" s="2" t="s">
        <v>193</v>
      </c>
      <c r="C317" s="2" t="s">
        <v>202</v>
      </c>
      <c r="D317" s="2" t="s">
        <v>15</v>
      </c>
      <c r="E317" s="2" t="s">
        <v>213</v>
      </c>
      <c r="F317" s="2"/>
      <c r="G317" s="16">
        <f>SUM(G318)</f>
        <v>714.8409999999999</v>
      </c>
    </row>
    <row r="318" spans="1:7" s="1" customFormat="1" ht="31.5">
      <c r="A318" s="23" t="s">
        <v>112</v>
      </c>
      <c r="B318" s="2" t="s">
        <v>193</v>
      </c>
      <c r="C318" s="2" t="s">
        <v>202</v>
      </c>
      <c r="D318" s="2" t="s">
        <v>15</v>
      </c>
      <c r="E318" s="2" t="s">
        <v>214</v>
      </c>
      <c r="F318" s="2"/>
      <c r="G318" s="16">
        <f>SUM(G319:G326)</f>
        <v>714.8409999999999</v>
      </c>
    </row>
    <row r="319" spans="1:7" s="1" customFormat="1" ht="15.75">
      <c r="A319" s="23" t="s">
        <v>22</v>
      </c>
      <c r="B319" s="2" t="s">
        <v>193</v>
      </c>
      <c r="C319" s="2" t="s">
        <v>202</v>
      </c>
      <c r="D319" s="2" t="s">
        <v>15</v>
      </c>
      <c r="E319" s="2" t="s">
        <v>214</v>
      </c>
      <c r="F319" s="2" t="s">
        <v>115</v>
      </c>
      <c r="G319" s="16">
        <v>272.45</v>
      </c>
    </row>
    <row r="320" spans="1:7" s="1" customFormat="1" ht="31.5">
      <c r="A320" s="23" t="s">
        <v>24</v>
      </c>
      <c r="B320" s="2" t="s">
        <v>193</v>
      </c>
      <c r="C320" s="2" t="s">
        <v>202</v>
      </c>
      <c r="D320" s="2" t="s">
        <v>15</v>
      </c>
      <c r="E320" s="2" t="s">
        <v>214</v>
      </c>
      <c r="F320" s="2" t="s">
        <v>215</v>
      </c>
      <c r="G320" s="16">
        <f>11.6-1.745</f>
        <v>9.855</v>
      </c>
    </row>
    <row r="321" spans="1:7" s="1" customFormat="1" ht="31.5">
      <c r="A321" s="23" t="s">
        <v>35</v>
      </c>
      <c r="B321" s="2" t="s">
        <v>193</v>
      </c>
      <c r="C321" s="2" t="s">
        <v>202</v>
      </c>
      <c r="D321" s="2" t="s">
        <v>15</v>
      </c>
      <c r="E321" s="2" t="s">
        <v>214</v>
      </c>
      <c r="F321" s="2" t="s">
        <v>36</v>
      </c>
      <c r="G321" s="16">
        <f>72.926-1.925-26.295</f>
        <v>44.706</v>
      </c>
    </row>
    <row r="322" spans="1:7" s="1" customFormat="1" ht="31.5">
      <c r="A322" s="23" t="s">
        <v>26</v>
      </c>
      <c r="B322" s="2" t="s">
        <v>193</v>
      </c>
      <c r="C322" s="2" t="s">
        <v>202</v>
      </c>
      <c r="D322" s="2" t="s">
        <v>15</v>
      </c>
      <c r="E322" s="2" t="s">
        <v>214</v>
      </c>
      <c r="F322" s="2" t="s">
        <v>27</v>
      </c>
      <c r="G322" s="16">
        <f>237.6+15</f>
        <v>252.6</v>
      </c>
    </row>
    <row r="323" spans="1:7" s="1" customFormat="1" ht="47.25">
      <c r="A323" s="23" t="s">
        <v>178</v>
      </c>
      <c r="B323" s="2" t="s">
        <v>193</v>
      </c>
      <c r="C323" s="2" t="s">
        <v>202</v>
      </c>
      <c r="D323" s="2" t="s">
        <v>15</v>
      </c>
      <c r="E323" s="2" t="s">
        <v>214</v>
      </c>
      <c r="F323" s="2" t="s">
        <v>179</v>
      </c>
      <c r="G323" s="16">
        <v>117.8</v>
      </c>
    </row>
    <row r="324" spans="1:7" s="1" customFormat="1" ht="111.75" customHeight="1">
      <c r="A324" s="35" t="s">
        <v>228</v>
      </c>
      <c r="B324" s="2" t="s">
        <v>193</v>
      </c>
      <c r="C324" s="2" t="s">
        <v>202</v>
      </c>
      <c r="D324" s="2" t="s">
        <v>15</v>
      </c>
      <c r="E324" s="2" t="s">
        <v>214</v>
      </c>
      <c r="F324" s="2" t="s">
        <v>38</v>
      </c>
      <c r="G324" s="16">
        <v>1</v>
      </c>
    </row>
    <row r="325" spans="1:7" s="1" customFormat="1" ht="31.5" customHeight="1">
      <c r="A325" s="27" t="s">
        <v>426</v>
      </c>
      <c r="B325" s="2" t="s">
        <v>193</v>
      </c>
      <c r="C325" s="2" t="s">
        <v>202</v>
      </c>
      <c r="D325" s="2" t="s">
        <v>15</v>
      </c>
      <c r="E325" s="2" t="s">
        <v>214</v>
      </c>
      <c r="F325" s="2" t="s">
        <v>40</v>
      </c>
      <c r="G325" s="16">
        <f>4.5-0.33</f>
        <v>4.17</v>
      </c>
    </row>
    <row r="326" spans="1:7" s="1" customFormat="1" ht="31.5">
      <c r="A326" s="27" t="s">
        <v>54</v>
      </c>
      <c r="B326" s="2" t="s">
        <v>193</v>
      </c>
      <c r="C326" s="2" t="s">
        <v>202</v>
      </c>
      <c r="D326" s="2" t="s">
        <v>15</v>
      </c>
      <c r="E326" s="2" t="s">
        <v>214</v>
      </c>
      <c r="F326" s="2" t="s">
        <v>42</v>
      </c>
      <c r="G326" s="16">
        <f>8.26+4</f>
        <v>12.26</v>
      </c>
    </row>
    <row r="327" spans="1:7" s="1" customFormat="1" ht="63">
      <c r="A327" s="35" t="s">
        <v>89</v>
      </c>
      <c r="B327" s="2" t="s">
        <v>193</v>
      </c>
      <c r="C327" s="2" t="s">
        <v>202</v>
      </c>
      <c r="D327" s="2" t="s">
        <v>15</v>
      </c>
      <c r="E327" s="2" t="s">
        <v>90</v>
      </c>
      <c r="F327" s="2"/>
      <c r="G327" s="16">
        <f>SUM(G328)</f>
        <v>6877.606</v>
      </c>
    </row>
    <row r="328" spans="1:7" s="1" customFormat="1" ht="144.75" customHeight="1">
      <c r="A328" s="35" t="s">
        <v>438</v>
      </c>
      <c r="B328" s="2" t="s">
        <v>193</v>
      </c>
      <c r="C328" s="2" t="s">
        <v>202</v>
      </c>
      <c r="D328" s="2" t="s">
        <v>15</v>
      </c>
      <c r="E328" s="2" t="s">
        <v>91</v>
      </c>
      <c r="F328" s="2"/>
      <c r="G328" s="16">
        <f>SUM(G329:G331)</f>
        <v>6877.606</v>
      </c>
    </row>
    <row r="329" spans="1:7" s="1" customFormat="1" ht="15.75">
      <c r="A329" s="23" t="s">
        <v>22</v>
      </c>
      <c r="B329" s="2" t="s">
        <v>193</v>
      </c>
      <c r="C329" s="2" t="s">
        <v>202</v>
      </c>
      <c r="D329" s="2" t="s">
        <v>15</v>
      </c>
      <c r="E329" s="2" t="s">
        <v>91</v>
      </c>
      <c r="F329" s="2" t="s">
        <v>115</v>
      </c>
      <c r="G329" s="16">
        <f>2557.8+250+113.1</f>
        <v>2920.9</v>
      </c>
    </row>
    <row r="330" spans="1:7" ht="31.5">
      <c r="A330" s="35" t="s">
        <v>35</v>
      </c>
      <c r="B330" s="2" t="s">
        <v>193</v>
      </c>
      <c r="C330" s="2" t="s">
        <v>202</v>
      </c>
      <c r="D330" s="2" t="s">
        <v>15</v>
      </c>
      <c r="E330" s="2" t="s">
        <v>91</v>
      </c>
      <c r="F330" s="2" t="s">
        <v>27</v>
      </c>
      <c r="G330" s="16">
        <v>20.4</v>
      </c>
    </row>
    <row r="331" spans="1:7" ht="48.75" customHeight="1">
      <c r="A331" s="23" t="s">
        <v>199</v>
      </c>
      <c r="B331" s="2" t="s">
        <v>193</v>
      </c>
      <c r="C331" s="2" t="s">
        <v>202</v>
      </c>
      <c r="D331" s="2" t="s">
        <v>15</v>
      </c>
      <c r="E331" s="2" t="s">
        <v>91</v>
      </c>
      <c r="F331" s="2" t="s">
        <v>200</v>
      </c>
      <c r="G331" s="16">
        <f>3561.1+212.306+65+97.9</f>
        <v>3936.306</v>
      </c>
    </row>
    <row r="332" spans="1:7" ht="15.75">
      <c r="A332" s="23" t="s">
        <v>183</v>
      </c>
      <c r="B332" s="2" t="s">
        <v>193</v>
      </c>
      <c r="C332" s="2" t="s">
        <v>202</v>
      </c>
      <c r="D332" s="2" t="s">
        <v>15</v>
      </c>
      <c r="E332" s="2" t="s">
        <v>73</v>
      </c>
      <c r="F332" s="2"/>
      <c r="G332" s="16">
        <f>SUM(G333)</f>
        <v>29.7</v>
      </c>
    </row>
    <row r="333" spans="1:7" ht="31.5">
      <c r="A333" s="23" t="s">
        <v>216</v>
      </c>
      <c r="B333" s="2" t="s">
        <v>193</v>
      </c>
      <c r="C333" s="2" t="s">
        <v>202</v>
      </c>
      <c r="D333" s="2" t="s">
        <v>15</v>
      </c>
      <c r="E333" s="2" t="s">
        <v>217</v>
      </c>
      <c r="F333" s="2"/>
      <c r="G333" s="16">
        <f>SUM(G334)</f>
        <v>29.7</v>
      </c>
    </row>
    <row r="334" spans="1:7" ht="15.75">
      <c r="A334" s="23" t="s">
        <v>381</v>
      </c>
      <c r="B334" s="2" t="s">
        <v>193</v>
      </c>
      <c r="C334" s="2" t="s">
        <v>202</v>
      </c>
      <c r="D334" s="2" t="s">
        <v>15</v>
      </c>
      <c r="E334" s="2" t="s">
        <v>380</v>
      </c>
      <c r="F334" s="2"/>
      <c r="G334" s="16">
        <f>SUM(G335)</f>
        <v>29.7</v>
      </c>
    </row>
    <row r="335" spans="1:7" ht="31.5">
      <c r="A335" s="23" t="s">
        <v>26</v>
      </c>
      <c r="B335" s="2" t="s">
        <v>193</v>
      </c>
      <c r="C335" s="2" t="s">
        <v>202</v>
      </c>
      <c r="D335" s="2" t="s">
        <v>15</v>
      </c>
      <c r="E335" s="2" t="s">
        <v>380</v>
      </c>
      <c r="F335" s="2" t="s">
        <v>27</v>
      </c>
      <c r="G335" s="16">
        <v>29.7</v>
      </c>
    </row>
    <row r="336" spans="1:7" s="1" customFormat="1" ht="17.25" customHeight="1">
      <c r="A336" s="23" t="s">
        <v>58</v>
      </c>
      <c r="B336" s="2" t="s">
        <v>193</v>
      </c>
      <c r="C336" s="2" t="s">
        <v>202</v>
      </c>
      <c r="D336" s="2" t="s">
        <v>15</v>
      </c>
      <c r="E336" s="2" t="s">
        <v>59</v>
      </c>
      <c r="F336" s="2"/>
      <c r="G336" s="16">
        <f>SUM(G337)</f>
        <v>119.009</v>
      </c>
    </row>
    <row r="337" spans="1:7" s="1" customFormat="1" ht="31.5">
      <c r="A337" s="23" t="s">
        <v>135</v>
      </c>
      <c r="B337" s="2" t="s">
        <v>193</v>
      </c>
      <c r="C337" s="2" t="s">
        <v>202</v>
      </c>
      <c r="D337" s="2" t="s">
        <v>15</v>
      </c>
      <c r="E337" s="2" t="s">
        <v>133</v>
      </c>
      <c r="F337" s="2"/>
      <c r="G337" s="16">
        <f>SUM(G338)</f>
        <v>119.009</v>
      </c>
    </row>
    <row r="338" spans="1:7" s="1" customFormat="1" ht="47.25">
      <c r="A338" s="23" t="s">
        <v>343</v>
      </c>
      <c r="B338" s="2" t="s">
        <v>193</v>
      </c>
      <c r="C338" s="2" t="s">
        <v>202</v>
      </c>
      <c r="D338" s="2" t="s">
        <v>15</v>
      </c>
      <c r="E338" s="2" t="s">
        <v>342</v>
      </c>
      <c r="F338" s="2"/>
      <c r="G338" s="16">
        <f>SUM(G339:G341)</f>
        <v>119.009</v>
      </c>
    </row>
    <row r="339" spans="1:7" s="1" customFormat="1" ht="31.5">
      <c r="A339" s="23" t="s">
        <v>35</v>
      </c>
      <c r="B339" s="2" t="s">
        <v>193</v>
      </c>
      <c r="C339" s="2" t="s">
        <v>202</v>
      </c>
      <c r="D339" s="2" t="s">
        <v>15</v>
      </c>
      <c r="E339" s="2" t="s">
        <v>342</v>
      </c>
      <c r="F339" s="2" t="s">
        <v>36</v>
      </c>
      <c r="G339" s="16">
        <v>11.295</v>
      </c>
    </row>
    <row r="340" spans="1:7" s="1" customFormat="1" ht="31.5">
      <c r="A340" s="23" t="s">
        <v>26</v>
      </c>
      <c r="B340" s="2" t="s">
        <v>193</v>
      </c>
      <c r="C340" s="2" t="s">
        <v>202</v>
      </c>
      <c r="D340" s="2" t="s">
        <v>15</v>
      </c>
      <c r="E340" s="2" t="s">
        <v>342</v>
      </c>
      <c r="F340" s="2" t="s">
        <v>27</v>
      </c>
      <c r="G340" s="16">
        <f>94+1.604+7</f>
        <v>102.604</v>
      </c>
    </row>
    <row r="341" spans="1:7" s="1" customFormat="1" ht="31.5">
      <c r="A341" s="27" t="s">
        <v>54</v>
      </c>
      <c r="B341" s="2" t="s">
        <v>193</v>
      </c>
      <c r="C341" s="2" t="s">
        <v>202</v>
      </c>
      <c r="D341" s="2" t="s">
        <v>15</v>
      </c>
      <c r="E341" s="2" t="s">
        <v>342</v>
      </c>
      <c r="F341" s="2" t="s">
        <v>42</v>
      </c>
      <c r="G341" s="16">
        <f>2.8+2.31</f>
        <v>5.109999999999999</v>
      </c>
    </row>
    <row r="342" spans="1:7" s="1" customFormat="1" ht="16.5" customHeight="1">
      <c r="A342" s="23" t="s">
        <v>218</v>
      </c>
      <c r="B342" s="2" t="s">
        <v>193</v>
      </c>
      <c r="C342" s="2" t="s">
        <v>202</v>
      </c>
      <c r="D342" s="2" t="s">
        <v>31</v>
      </c>
      <c r="E342" s="2"/>
      <c r="F342" s="2"/>
      <c r="G342" s="16">
        <f>SUM(G343,G351,G358)</f>
        <v>1950.45</v>
      </c>
    </row>
    <row r="343" spans="1:7" s="1" customFormat="1" ht="63">
      <c r="A343" s="23" t="s">
        <v>18</v>
      </c>
      <c r="B343" s="2" t="s">
        <v>193</v>
      </c>
      <c r="C343" s="2" t="s">
        <v>202</v>
      </c>
      <c r="D343" s="2" t="s">
        <v>31</v>
      </c>
      <c r="E343" s="2" t="s">
        <v>19</v>
      </c>
      <c r="F343" s="2"/>
      <c r="G343" s="16">
        <f>SUM(G344)</f>
        <v>932.518</v>
      </c>
    </row>
    <row r="344" spans="1:7" s="1" customFormat="1" ht="15.75">
      <c r="A344" s="23" t="s">
        <v>20</v>
      </c>
      <c r="B344" s="2" t="s">
        <v>193</v>
      </c>
      <c r="C344" s="2" t="s">
        <v>202</v>
      </c>
      <c r="D344" s="2" t="s">
        <v>31</v>
      </c>
      <c r="E344" s="2" t="s">
        <v>21</v>
      </c>
      <c r="F344" s="2"/>
      <c r="G344" s="16">
        <f>SUM(G345:G350)</f>
        <v>932.518</v>
      </c>
    </row>
    <row r="345" spans="1:7" s="1" customFormat="1" ht="15.75">
      <c r="A345" s="23" t="s">
        <v>22</v>
      </c>
      <c r="B345" s="2" t="s">
        <v>193</v>
      </c>
      <c r="C345" s="2" t="s">
        <v>202</v>
      </c>
      <c r="D345" s="2" t="s">
        <v>31</v>
      </c>
      <c r="E345" s="2" t="s">
        <v>21</v>
      </c>
      <c r="F345" s="2" t="s">
        <v>23</v>
      </c>
      <c r="G345" s="16">
        <f>-80+1120.5-107.982</f>
        <v>932.518</v>
      </c>
    </row>
    <row r="346" spans="1:7" s="1" customFormat="1" ht="31.5" hidden="1">
      <c r="A346" s="23" t="s">
        <v>24</v>
      </c>
      <c r="B346" s="2" t="s">
        <v>193</v>
      </c>
      <c r="C346" s="2" t="s">
        <v>202</v>
      </c>
      <c r="D346" s="2" t="s">
        <v>31</v>
      </c>
      <c r="E346" s="2" t="s">
        <v>21</v>
      </c>
      <c r="F346" s="2" t="s">
        <v>25</v>
      </c>
      <c r="G346" s="16"/>
    </row>
    <row r="347" spans="1:7" s="1" customFormat="1" ht="31.5" hidden="1">
      <c r="A347" s="23" t="s">
        <v>35</v>
      </c>
      <c r="B347" s="2" t="s">
        <v>193</v>
      </c>
      <c r="C347" s="2" t="s">
        <v>202</v>
      </c>
      <c r="D347" s="2" t="s">
        <v>31</v>
      </c>
      <c r="E347" s="2" t="s">
        <v>21</v>
      </c>
      <c r="F347" s="2" t="s">
        <v>36</v>
      </c>
      <c r="G347" s="16"/>
    </row>
    <row r="348" spans="1:7" s="1" customFormat="1" ht="31.5" hidden="1">
      <c r="A348" s="23" t="s">
        <v>26</v>
      </c>
      <c r="B348" s="2" t="s">
        <v>193</v>
      </c>
      <c r="C348" s="2" t="s">
        <v>202</v>
      </c>
      <c r="D348" s="2" t="s">
        <v>31</v>
      </c>
      <c r="E348" s="2" t="s">
        <v>21</v>
      </c>
      <c r="F348" s="2" t="s">
        <v>27</v>
      </c>
      <c r="G348" s="16"/>
    </row>
    <row r="349" spans="1:7" s="1" customFormat="1" ht="32.25" customHeight="1" hidden="1">
      <c r="A349" s="27" t="s">
        <v>39</v>
      </c>
      <c r="B349" s="2" t="s">
        <v>193</v>
      </c>
      <c r="C349" s="2" t="s">
        <v>202</v>
      </c>
      <c r="D349" s="2" t="s">
        <v>31</v>
      </c>
      <c r="E349" s="2" t="s">
        <v>21</v>
      </c>
      <c r="F349" s="2" t="s">
        <v>40</v>
      </c>
      <c r="G349" s="16"/>
    </row>
    <row r="350" spans="1:7" s="1" customFormat="1" ht="31.5" hidden="1">
      <c r="A350" s="27" t="s">
        <v>54</v>
      </c>
      <c r="B350" s="2" t="s">
        <v>193</v>
      </c>
      <c r="C350" s="2" t="s">
        <v>202</v>
      </c>
      <c r="D350" s="2" t="s">
        <v>31</v>
      </c>
      <c r="E350" s="2" t="s">
        <v>21</v>
      </c>
      <c r="F350" s="2" t="s">
        <v>42</v>
      </c>
      <c r="G350" s="16"/>
    </row>
    <row r="351" spans="1:7" s="1" customFormat="1" ht="79.5" customHeight="1">
      <c r="A351" s="23" t="s">
        <v>219</v>
      </c>
      <c r="B351" s="2" t="s">
        <v>193</v>
      </c>
      <c r="C351" s="2" t="s">
        <v>202</v>
      </c>
      <c r="D351" s="2" t="s">
        <v>31</v>
      </c>
      <c r="E351" s="2" t="s">
        <v>220</v>
      </c>
      <c r="F351" s="2"/>
      <c r="G351" s="16">
        <f>SUM(G352)</f>
        <v>182.432</v>
      </c>
    </row>
    <row r="352" spans="1:7" s="1" customFormat="1" ht="31.5">
      <c r="A352" s="23" t="s">
        <v>112</v>
      </c>
      <c r="B352" s="2" t="s">
        <v>193</v>
      </c>
      <c r="C352" s="2" t="s">
        <v>202</v>
      </c>
      <c r="D352" s="2" t="s">
        <v>31</v>
      </c>
      <c r="E352" s="2" t="s">
        <v>221</v>
      </c>
      <c r="F352" s="2"/>
      <c r="G352" s="16">
        <f>SUM(G353:G357)</f>
        <v>182.432</v>
      </c>
    </row>
    <row r="353" spans="1:7" s="1" customFormat="1" ht="31.5">
      <c r="A353" s="23" t="s">
        <v>24</v>
      </c>
      <c r="B353" s="2" t="s">
        <v>193</v>
      </c>
      <c r="C353" s="2" t="s">
        <v>202</v>
      </c>
      <c r="D353" s="2" t="s">
        <v>31</v>
      </c>
      <c r="E353" s="2" t="s">
        <v>221</v>
      </c>
      <c r="F353" s="2" t="s">
        <v>215</v>
      </c>
      <c r="G353" s="16">
        <f>2+22.9-24.9</f>
        <v>0</v>
      </c>
    </row>
    <row r="354" spans="1:7" s="1" customFormat="1" ht="31.5">
      <c r="A354" s="23" t="s">
        <v>35</v>
      </c>
      <c r="B354" s="2" t="s">
        <v>193</v>
      </c>
      <c r="C354" s="2" t="s">
        <v>202</v>
      </c>
      <c r="D354" s="2" t="s">
        <v>31</v>
      </c>
      <c r="E354" s="2" t="s">
        <v>221</v>
      </c>
      <c r="F354" s="2" t="s">
        <v>36</v>
      </c>
      <c r="G354" s="16">
        <f>60.5+99.3-5.1-16.628</f>
        <v>138.072</v>
      </c>
    </row>
    <row r="355" spans="1:7" s="1" customFormat="1" ht="31.5">
      <c r="A355" s="23" t="s">
        <v>26</v>
      </c>
      <c r="B355" s="2" t="s">
        <v>193</v>
      </c>
      <c r="C355" s="2" t="s">
        <v>202</v>
      </c>
      <c r="D355" s="2" t="s">
        <v>31</v>
      </c>
      <c r="E355" s="2" t="s">
        <v>221</v>
      </c>
      <c r="F355" s="2" t="s">
        <v>27</v>
      </c>
      <c r="G355" s="16">
        <f>15.6+27.9+36+5.1-41.24</f>
        <v>43.35999999999999</v>
      </c>
    </row>
    <row r="356" spans="1:7" s="1" customFormat="1" ht="33" customHeight="1">
      <c r="A356" s="27" t="s">
        <v>39</v>
      </c>
      <c r="B356" s="2" t="s">
        <v>193</v>
      </c>
      <c r="C356" s="2" t="s">
        <v>202</v>
      </c>
      <c r="D356" s="2" t="s">
        <v>31</v>
      </c>
      <c r="E356" s="2" t="s">
        <v>221</v>
      </c>
      <c r="F356" s="2" t="s">
        <v>40</v>
      </c>
      <c r="G356" s="16">
        <f>0.1-0.047</f>
        <v>0.053000000000000005</v>
      </c>
    </row>
    <row r="357" spans="1:7" s="1" customFormat="1" ht="31.5">
      <c r="A357" s="27" t="s">
        <v>54</v>
      </c>
      <c r="B357" s="2" t="s">
        <v>193</v>
      </c>
      <c r="C357" s="2" t="s">
        <v>202</v>
      </c>
      <c r="D357" s="2" t="s">
        <v>31</v>
      </c>
      <c r="E357" s="2" t="s">
        <v>221</v>
      </c>
      <c r="F357" s="2" t="s">
        <v>42</v>
      </c>
      <c r="G357" s="16">
        <f>0.9+0.047</f>
        <v>0.9470000000000001</v>
      </c>
    </row>
    <row r="358" spans="1:7" s="1" customFormat="1" ht="63">
      <c r="A358" s="35" t="s">
        <v>89</v>
      </c>
      <c r="B358" s="2" t="s">
        <v>193</v>
      </c>
      <c r="C358" s="2" t="s">
        <v>202</v>
      </c>
      <c r="D358" s="2" t="s">
        <v>31</v>
      </c>
      <c r="E358" s="2" t="s">
        <v>90</v>
      </c>
      <c r="F358" s="2"/>
      <c r="G358" s="16">
        <f>SUM(G359)</f>
        <v>835.5</v>
      </c>
    </row>
    <row r="359" spans="1:7" s="1" customFormat="1" ht="144.75" customHeight="1">
      <c r="A359" s="35" t="s">
        <v>438</v>
      </c>
      <c r="B359" s="2" t="s">
        <v>193</v>
      </c>
      <c r="C359" s="2" t="s">
        <v>202</v>
      </c>
      <c r="D359" s="2" t="s">
        <v>31</v>
      </c>
      <c r="E359" s="2" t="s">
        <v>91</v>
      </c>
      <c r="F359" s="2"/>
      <c r="G359" s="16">
        <f>SUM(G360)</f>
        <v>835.5</v>
      </c>
    </row>
    <row r="360" spans="1:7" s="1" customFormat="1" ht="15.75">
      <c r="A360" s="23" t="s">
        <v>22</v>
      </c>
      <c r="B360" s="2" t="s">
        <v>193</v>
      </c>
      <c r="C360" s="2" t="s">
        <v>202</v>
      </c>
      <c r="D360" s="2" t="s">
        <v>31</v>
      </c>
      <c r="E360" s="2" t="s">
        <v>91</v>
      </c>
      <c r="F360" s="2" t="s">
        <v>115</v>
      </c>
      <c r="G360" s="16">
        <f>933.4-97.9</f>
        <v>835.5</v>
      </c>
    </row>
    <row r="361" spans="1:7" s="1" customFormat="1" ht="15.75" hidden="1">
      <c r="A361" s="23" t="s">
        <v>162</v>
      </c>
      <c r="B361" s="2" t="s">
        <v>193</v>
      </c>
      <c r="C361" s="2" t="s">
        <v>163</v>
      </c>
      <c r="D361" s="2"/>
      <c r="E361" s="2"/>
      <c r="F361" s="2"/>
      <c r="G361" s="16">
        <f>SUM(G362)</f>
        <v>0</v>
      </c>
    </row>
    <row r="362" spans="1:7" s="1" customFormat="1" ht="15.75" hidden="1">
      <c r="A362" s="23" t="s">
        <v>171</v>
      </c>
      <c r="B362" s="2" t="s">
        <v>193</v>
      </c>
      <c r="C362" s="2" t="s">
        <v>163</v>
      </c>
      <c r="D362" s="2" t="s">
        <v>17</v>
      </c>
      <c r="E362" s="2"/>
      <c r="F362" s="2"/>
      <c r="G362" s="16">
        <f>SUM(G363)</f>
        <v>0</v>
      </c>
    </row>
    <row r="363" spans="1:7" s="1" customFormat="1" ht="15.75" hidden="1">
      <c r="A363" s="23" t="s">
        <v>223</v>
      </c>
      <c r="B363" s="2" t="s">
        <v>193</v>
      </c>
      <c r="C363" s="2" t="s">
        <v>163</v>
      </c>
      <c r="D363" s="2" t="s">
        <v>17</v>
      </c>
      <c r="E363" s="2" t="s">
        <v>224</v>
      </c>
      <c r="F363" s="2"/>
      <c r="G363" s="16">
        <f>SUM(G364)</f>
        <v>0</v>
      </c>
    </row>
    <row r="364" spans="1:7" s="1" customFormat="1" ht="63.75" customHeight="1" hidden="1">
      <c r="A364" s="23" t="s">
        <v>226</v>
      </c>
      <c r="B364" s="2" t="s">
        <v>193</v>
      </c>
      <c r="C364" s="2" t="s">
        <v>163</v>
      </c>
      <c r="D364" s="2" t="s">
        <v>17</v>
      </c>
      <c r="E364" s="2" t="s">
        <v>225</v>
      </c>
      <c r="F364" s="2"/>
      <c r="G364" s="16">
        <f>SUM(G365:G366)</f>
        <v>0</v>
      </c>
    </row>
    <row r="365" spans="1:7" s="1" customFormat="1" ht="47.25" hidden="1">
      <c r="A365" s="23" t="s">
        <v>178</v>
      </c>
      <c r="B365" s="2" t="s">
        <v>193</v>
      </c>
      <c r="C365" s="2" t="s">
        <v>163</v>
      </c>
      <c r="D365" s="2" t="s">
        <v>17</v>
      </c>
      <c r="E365" s="2" t="s">
        <v>225</v>
      </c>
      <c r="F365" s="2" t="s">
        <v>179</v>
      </c>
      <c r="G365" s="16"/>
    </row>
    <row r="366" spans="1:7" s="1" customFormat="1" ht="17.25" customHeight="1" hidden="1">
      <c r="A366" s="23" t="s">
        <v>210</v>
      </c>
      <c r="B366" s="2" t="s">
        <v>193</v>
      </c>
      <c r="C366" s="2" t="s">
        <v>163</v>
      </c>
      <c r="D366" s="2" t="s">
        <v>17</v>
      </c>
      <c r="E366" s="2" t="s">
        <v>225</v>
      </c>
      <c r="F366" s="2" t="s">
        <v>211</v>
      </c>
      <c r="G366" s="16"/>
    </row>
    <row r="367" spans="1:7" s="1" customFormat="1" ht="63">
      <c r="A367" s="22" t="s">
        <v>227</v>
      </c>
      <c r="B367" s="6" t="s">
        <v>222</v>
      </c>
      <c r="C367" s="6"/>
      <c r="D367" s="6"/>
      <c r="E367" s="6"/>
      <c r="F367" s="6"/>
      <c r="G367" s="15">
        <f>SUM(G368,G381,G539)</f>
        <v>217086.234</v>
      </c>
    </row>
    <row r="368" spans="1:7" s="1" customFormat="1" ht="15.75">
      <c r="A368" s="23" t="s">
        <v>14</v>
      </c>
      <c r="B368" s="2" t="s">
        <v>222</v>
      </c>
      <c r="C368" s="2" t="s">
        <v>15</v>
      </c>
      <c r="D368" s="2"/>
      <c r="E368" s="2"/>
      <c r="F368" s="2"/>
      <c r="G368" s="16">
        <f>SUM(G369)</f>
        <v>12300.627</v>
      </c>
    </row>
    <row r="369" spans="1:7" s="1" customFormat="1" ht="15.75">
      <c r="A369" s="23" t="s">
        <v>45</v>
      </c>
      <c r="B369" s="2" t="s">
        <v>222</v>
      </c>
      <c r="C369" s="2" t="s">
        <v>15</v>
      </c>
      <c r="D369" s="2" t="s">
        <v>46</v>
      </c>
      <c r="E369" s="2"/>
      <c r="F369" s="2"/>
      <c r="G369" s="16">
        <f>SUM(G370,G378)</f>
        <v>12300.627</v>
      </c>
    </row>
    <row r="370" spans="1:7" s="1" customFormat="1" ht="31.5">
      <c r="A370" s="23" t="s">
        <v>110</v>
      </c>
      <c r="B370" s="2" t="s">
        <v>222</v>
      </c>
      <c r="C370" s="2" t="s">
        <v>15</v>
      </c>
      <c r="D370" s="2" t="s">
        <v>46</v>
      </c>
      <c r="E370" s="2" t="s">
        <v>111</v>
      </c>
      <c r="F370" s="2"/>
      <c r="G370" s="16">
        <f>SUM(G371)</f>
        <v>7344.427000000001</v>
      </c>
    </row>
    <row r="371" spans="1:7" s="1" customFormat="1" ht="31.5">
      <c r="A371" s="23" t="s">
        <v>112</v>
      </c>
      <c r="B371" s="2" t="s">
        <v>222</v>
      </c>
      <c r="C371" s="2" t="s">
        <v>15</v>
      </c>
      <c r="D371" s="2" t="s">
        <v>46</v>
      </c>
      <c r="E371" s="2" t="s">
        <v>113</v>
      </c>
      <c r="F371" s="2"/>
      <c r="G371" s="16">
        <f>SUM(G372:G377)</f>
        <v>7344.427000000001</v>
      </c>
    </row>
    <row r="372" spans="1:7" s="1" customFormat="1" ht="15.75">
      <c r="A372" s="23" t="s">
        <v>22</v>
      </c>
      <c r="B372" s="2" t="s">
        <v>222</v>
      </c>
      <c r="C372" s="2" t="s">
        <v>15</v>
      </c>
      <c r="D372" s="2" t="s">
        <v>46</v>
      </c>
      <c r="E372" s="2" t="s">
        <v>113</v>
      </c>
      <c r="F372" s="2" t="s">
        <v>115</v>
      </c>
      <c r="G372" s="16">
        <f>6330+700+80.32638</f>
        <v>7110.32638</v>
      </c>
    </row>
    <row r="373" spans="1:7" s="1" customFormat="1" ht="31.5">
      <c r="A373" s="23" t="s">
        <v>24</v>
      </c>
      <c r="B373" s="2" t="s">
        <v>222</v>
      </c>
      <c r="C373" s="2" t="s">
        <v>15</v>
      </c>
      <c r="D373" s="2" t="s">
        <v>46</v>
      </c>
      <c r="E373" s="2" t="s">
        <v>113</v>
      </c>
      <c r="F373" s="2" t="s">
        <v>215</v>
      </c>
      <c r="G373" s="16">
        <v>5.427</v>
      </c>
    </row>
    <row r="374" spans="1:7" s="1" customFormat="1" ht="31.5">
      <c r="A374" s="23" t="s">
        <v>35</v>
      </c>
      <c r="B374" s="2" t="s">
        <v>222</v>
      </c>
      <c r="C374" s="2" t="s">
        <v>15</v>
      </c>
      <c r="D374" s="2" t="s">
        <v>46</v>
      </c>
      <c r="E374" s="2" t="s">
        <v>113</v>
      </c>
      <c r="F374" s="2" t="s">
        <v>36</v>
      </c>
      <c r="G374" s="16">
        <f>11-1.2</f>
        <v>9.8</v>
      </c>
    </row>
    <row r="375" spans="1:7" s="1" customFormat="1" ht="31.5">
      <c r="A375" s="23" t="s">
        <v>26</v>
      </c>
      <c r="B375" s="2" t="s">
        <v>222</v>
      </c>
      <c r="C375" s="2" t="s">
        <v>15</v>
      </c>
      <c r="D375" s="2" t="s">
        <v>46</v>
      </c>
      <c r="E375" s="2" t="s">
        <v>113</v>
      </c>
      <c r="F375" s="2" t="s">
        <v>27</v>
      </c>
      <c r="G375" s="16">
        <f>217+77-95.12638</f>
        <v>198.87362000000002</v>
      </c>
    </row>
    <row r="376" spans="1:7" s="1" customFormat="1" ht="110.25" customHeight="1" hidden="1">
      <c r="A376" s="35" t="s">
        <v>228</v>
      </c>
      <c r="B376" s="2" t="s">
        <v>222</v>
      </c>
      <c r="C376" s="2" t="s">
        <v>15</v>
      </c>
      <c r="D376" s="2" t="s">
        <v>46</v>
      </c>
      <c r="E376" s="2" t="s">
        <v>113</v>
      </c>
      <c r="F376" s="2" t="s">
        <v>38</v>
      </c>
      <c r="G376" s="16"/>
    </row>
    <row r="377" spans="1:7" s="1" customFormat="1" ht="31.5">
      <c r="A377" s="23" t="s">
        <v>54</v>
      </c>
      <c r="B377" s="2" t="s">
        <v>222</v>
      </c>
      <c r="C377" s="2" t="s">
        <v>15</v>
      </c>
      <c r="D377" s="2" t="s">
        <v>46</v>
      </c>
      <c r="E377" s="2" t="s">
        <v>113</v>
      </c>
      <c r="F377" s="2" t="s">
        <v>42</v>
      </c>
      <c r="G377" s="16">
        <f>4+16</f>
        <v>20</v>
      </c>
    </row>
    <row r="378" spans="1:7" s="1" customFormat="1" ht="63">
      <c r="A378" s="35" t="s">
        <v>89</v>
      </c>
      <c r="B378" s="2" t="s">
        <v>222</v>
      </c>
      <c r="C378" s="2" t="s">
        <v>15</v>
      </c>
      <c r="D378" s="2" t="s">
        <v>46</v>
      </c>
      <c r="E378" s="2" t="s">
        <v>90</v>
      </c>
      <c r="F378" s="2"/>
      <c r="G378" s="16">
        <f>SUM(G379)</f>
        <v>4956.2</v>
      </c>
    </row>
    <row r="379" spans="1:7" s="1" customFormat="1" ht="144" customHeight="1">
      <c r="A379" s="35" t="s">
        <v>438</v>
      </c>
      <c r="B379" s="2" t="s">
        <v>222</v>
      </c>
      <c r="C379" s="2" t="s">
        <v>15</v>
      </c>
      <c r="D379" s="2" t="s">
        <v>46</v>
      </c>
      <c r="E379" s="2" t="s">
        <v>91</v>
      </c>
      <c r="F379" s="2"/>
      <c r="G379" s="16">
        <f>SUM(G380)</f>
        <v>4956.2</v>
      </c>
    </row>
    <row r="380" spans="1:7" s="1" customFormat="1" ht="15.75">
      <c r="A380" s="23" t="s">
        <v>22</v>
      </c>
      <c r="B380" s="2" t="s">
        <v>222</v>
      </c>
      <c r="C380" s="2" t="s">
        <v>15</v>
      </c>
      <c r="D380" s="2" t="s">
        <v>46</v>
      </c>
      <c r="E380" s="2" t="s">
        <v>91</v>
      </c>
      <c r="F380" s="2" t="s">
        <v>115</v>
      </c>
      <c r="G380" s="16">
        <f>4084.2+200+472+200</f>
        <v>4956.2</v>
      </c>
    </row>
    <row r="381" spans="1:7" s="1" customFormat="1" ht="15.75">
      <c r="A381" s="23" t="s">
        <v>159</v>
      </c>
      <c r="B381" s="2" t="s">
        <v>222</v>
      </c>
      <c r="C381" s="2" t="s">
        <v>117</v>
      </c>
      <c r="D381" s="2"/>
      <c r="E381" s="2"/>
      <c r="F381" s="2"/>
      <c r="G381" s="16">
        <f>SUM(G382,G422,G505,G514)</f>
        <v>194910.00699999998</v>
      </c>
    </row>
    <row r="382" spans="1:7" s="1" customFormat="1" ht="15.75">
      <c r="A382" s="23" t="s">
        <v>229</v>
      </c>
      <c r="B382" s="2" t="s">
        <v>222</v>
      </c>
      <c r="C382" s="2" t="s">
        <v>117</v>
      </c>
      <c r="D382" s="2" t="s">
        <v>15</v>
      </c>
      <c r="E382" s="2"/>
      <c r="F382" s="2"/>
      <c r="G382" s="16">
        <f>SUM(G383,G386,G398,G401,G406,G412,G417)</f>
        <v>24371.03094</v>
      </c>
    </row>
    <row r="383" spans="1:7" s="1" customFormat="1" ht="15.75">
      <c r="A383" s="23" t="s">
        <v>358</v>
      </c>
      <c r="B383" s="2" t="s">
        <v>222</v>
      </c>
      <c r="C383" s="2" t="s">
        <v>117</v>
      </c>
      <c r="D383" s="2" t="s">
        <v>15</v>
      </c>
      <c r="E383" s="2" t="s">
        <v>359</v>
      </c>
      <c r="F383" s="2"/>
      <c r="G383" s="16">
        <f>SUM(G384)</f>
        <v>248.8</v>
      </c>
    </row>
    <row r="384" spans="1:7" s="1" customFormat="1" ht="31.5">
      <c r="A384" s="23" t="s">
        <v>453</v>
      </c>
      <c r="B384" s="2" t="s">
        <v>222</v>
      </c>
      <c r="C384" s="2" t="s">
        <v>117</v>
      </c>
      <c r="D384" s="2" t="s">
        <v>15</v>
      </c>
      <c r="E384" s="2" t="s">
        <v>452</v>
      </c>
      <c r="F384" s="2"/>
      <c r="G384" s="16">
        <f>SUM(G385)</f>
        <v>248.8</v>
      </c>
    </row>
    <row r="385" spans="1:7" s="1" customFormat="1" ht="31.5">
      <c r="A385" s="23" t="s">
        <v>26</v>
      </c>
      <c r="B385" s="2" t="s">
        <v>222</v>
      </c>
      <c r="C385" s="2" t="s">
        <v>117</v>
      </c>
      <c r="D385" s="2" t="s">
        <v>15</v>
      </c>
      <c r="E385" s="2" t="s">
        <v>452</v>
      </c>
      <c r="F385" s="2" t="s">
        <v>27</v>
      </c>
      <c r="G385" s="16">
        <v>248.8</v>
      </c>
    </row>
    <row r="386" spans="1:7" s="1" customFormat="1" ht="15.75">
      <c r="A386" s="23" t="s">
        <v>230</v>
      </c>
      <c r="B386" s="2" t="s">
        <v>222</v>
      </c>
      <c r="C386" s="2" t="s">
        <v>117</v>
      </c>
      <c r="D386" s="2" t="s">
        <v>15</v>
      </c>
      <c r="E386" s="2" t="s">
        <v>231</v>
      </c>
      <c r="F386" s="2"/>
      <c r="G386" s="16">
        <f>SUM(G387,G389)</f>
        <v>5682.390289999999</v>
      </c>
    </row>
    <row r="387" spans="1:7" s="1" customFormat="1" ht="15.75" customHeight="1">
      <c r="A387" s="23" t="s">
        <v>232</v>
      </c>
      <c r="B387" s="2" t="s">
        <v>222</v>
      </c>
      <c r="C387" s="2" t="s">
        <v>117</v>
      </c>
      <c r="D387" s="2" t="s">
        <v>15</v>
      </c>
      <c r="E387" s="2" t="s">
        <v>233</v>
      </c>
      <c r="F387" s="2"/>
      <c r="G387" s="16">
        <f>SUM(G388)</f>
        <v>1184.7172</v>
      </c>
    </row>
    <row r="388" spans="1:7" s="1" customFormat="1" ht="48.75" customHeight="1">
      <c r="A388" s="23" t="s">
        <v>199</v>
      </c>
      <c r="B388" s="2" t="s">
        <v>222</v>
      </c>
      <c r="C388" s="2" t="s">
        <v>117</v>
      </c>
      <c r="D388" s="2" t="s">
        <v>15</v>
      </c>
      <c r="E388" s="2" t="s">
        <v>233</v>
      </c>
      <c r="F388" s="2" t="s">
        <v>200</v>
      </c>
      <c r="G388" s="16">
        <f>1370-22-200+36.7172</f>
        <v>1184.7172</v>
      </c>
    </row>
    <row r="389" spans="1:7" s="1" customFormat="1" ht="31.5">
      <c r="A389" s="23" t="s">
        <v>112</v>
      </c>
      <c r="B389" s="2" t="s">
        <v>222</v>
      </c>
      <c r="C389" s="2" t="s">
        <v>117</v>
      </c>
      <c r="D389" s="2" t="s">
        <v>15</v>
      </c>
      <c r="E389" s="2" t="s">
        <v>234</v>
      </c>
      <c r="F389" s="2"/>
      <c r="G389" s="16">
        <f>SUM(G390:G397)</f>
        <v>4497.673089999999</v>
      </c>
    </row>
    <row r="390" spans="1:7" s="1" customFormat="1" ht="31.5">
      <c r="A390" s="23" t="s">
        <v>24</v>
      </c>
      <c r="B390" s="2" t="s">
        <v>222</v>
      </c>
      <c r="C390" s="2" t="s">
        <v>117</v>
      </c>
      <c r="D390" s="2" t="s">
        <v>15</v>
      </c>
      <c r="E390" s="2" t="s">
        <v>234</v>
      </c>
      <c r="F390" s="2" t="s">
        <v>215</v>
      </c>
      <c r="G390" s="16">
        <f>76.2-11.89</f>
        <v>64.31</v>
      </c>
    </row>
    <row r="391" spans="1:7" s="1" customFormat="1" ht="31.5">
      <c r="A391" s="23" t="s">
        <v>35</v>
      </c>
      <c r="B391" s="2" t="s">
        <v>222</v>
      </c>
      <c r="C391" s="2" t="s">
        <v>117</v>
      </c>
      <c r="D391" s="2" t="s">
        <v>15</v>
      </c>
      <c r="E391" s="2" t="s">
        <v>234</v>
      </c>
      <c r="F391" s="2" t="s">
        <v>36</v>
      </c>
      <c r="G391" s="16">
        <f>22+35</f>
        <v>57</v>
      </c>
    </row>
    <row r="392" spans="1:7" s="1" customFormat="1" ht="47.25" hidden="1">
      <c r="A392" s="23" t="s">
        <v>429</v>
      </c>
      <c r="B392" s="2" t="s">
        <v>222</v>
      </c>
      <c r="C392" s="2" t="s">
        <v>117</v>
      </c>
      <c r="D392" s="2" t="s">
        <v>15</v>
      </c>
      <c r="E392" s="2" t="s">
        <v>234</v>
      </c>
      <c r="F392" s="2" t="s">
        <v>430</v>
      </c>
      <c r="G392" s="16"/>
    </row>
    <row r="393" spans="1:7" s="1" customFormat="1" ht="31.5">
      <c r="A393" s="23" t="s">
        <v>26</v>
      </c>
      <c r="B393" s="2" t="s">
        <v>222</v>
      </c>
      <c r="C393" s="2" t="s">
        <v>117</v>
      </c>
      <c r="D393" s="2" t="s">
        <v>15</v>
      </c>
      <c r="E393" s="2" t="s">
        <v>234</v>
      </c>
      <c r="F393" s="2" t="s">
        <v>27</v>
      </c>
      <c r="G393" s="16">
        <f>4350.4-35+40-61.041+51.94709</f>
        <v>4346.306089999999</v>
      </c>
    </row>
    <row r="394" spans="1:7" s="1" customFormat="1" ht="47.25" hidden="1">
      <c r="A394" s="23" t="s">
        <v>178</v>
      </c>
      <c r="B394" s="2" t="s">
        <v>222</v>
      </c>
      <c r="C394" s="2" t="s">
        <v>117</v>
      </c>
      <c r="D394" s="2" t="s">
        <v>15</v>
      </c>
      <c r="E394" s="2" t="s">
        <v>234</v>
      </c>
      <c r="F394" s="2" t="s">
        <v>179</v>
      </c>
      <c r="G394" s="16"/>
    </row>
    <row r="395" spans="1:7" s="1" customFormat="1" ht="110.25" customHeight="1" hidden="1">
      <c r="A395" s="35" t="s">
        <v>228</v>
      </c>
      <c r="B395" s="2" t="s">
        <v>222</v>
      </c>
      <c r="C395" s="2" t="s">
        <v>117</v>
      </c>
      <c r="D395" s="2" t="s">
        <v>15</v>
      </c>
      <c r="E395" s="2" t="s">
        <v>234</v>
      </c>
      <c r="F395" s="2" t="s">
        <v>38</v>
      </c>
      <c r="G395" s="16"/>
    </row>
    <row r="396" spans="1:7" s="1" customFormat="1" ht="31.5">
      <c r="A396" s="35" t="s">
        <v>96</v>
      </c>
      <c r="B396" s="2" t="s">
        <v>222</v>
      </c>
      <c r="C396" s="2" t="s">
        <v>117</v>
      </c>
      <c r="D396" s="2" t="s">
        <v>15</v>
      </c>
      <c r="E396" s="2" t="s">
        <v>234</v>
      </c>
      <c r="F396" s="2" t="s">
        <v>40</v>
      </c>
      <c r="G396" s="16">
        <f>22-11.943</f>
        <v>10.057</v>
      </c>
    </row>
    <row r="397" spans="1:7" s="1" customFormat="1" ht="31.5">
      <c r="A397" s="35" t="s">
        <v>54</v>
      </c>
      <c r="B397" s="2" t="s">
        <v>222</v>
      </c>
      <c r="C397" s="2" t="s">
        <v>117</v>
      </c>
      <c r="D397" s="2" t="s">
        <v>15</v>
      </c>
      <c r="E397" s="2" t="s">
        <v>234</v>
      </c>
      <c r="F397" s="2" t="s">
        <v>42</v>
      </c>
      <c r="G397" s="16">
        <v>20</v>
      </c>
    </row>
    <row r="398" spans="1:7" s="1" customFormat="1" ht="15.75">
      <c r="A398" s="35" t="s">
        <v>413</v>
      </c>
      <c r="B398" s="2" t="s">
        <v>222</v>
      </c>
      <c r="C398" s="2" t="s">
        <v>117</v>
      </c>
      <c r="D398" s="2" t="s">
        <v>15</v>
      </c>
      <c r="E398" s="2" t="s">
        <v>412</v>
      </c>
      <c r="F398" s="2"/>
      <c r="G398" s="16">
        <f>SUM(G399)</f>
        <v>3420</v>
      </c>
    </row>
    <row r="399" spans="1:7" s="1" customFormat="1" ht="31.5">
      <c r="A399" s="35" t="s">
        <v>442</v>
      </c>
      <c r="B399" s="2" t="s">
        <v>222</v>
      </c>
      <c r="C399" s="2" t="s">
        <v>117</v>
      </c>
      <c r="D399" s="2" t="s">
        <v>15</v>
      </c>
      <c r="E399" s="2" t="s">
        <v>441</v>
      </c>
      <c r="F399" s="2"/>
      <c r="G399" s="16">
        <f>SUM(G400)</f>
        <v>3420</v>
      </c>
    </row>
    <row r="400" spans="1:7" s="1" customFormat="1" ht="31.5">
      <c r="A400" s="23" t="s">
        <v>26</v>
      </c>
      <c r="B400" s="2" t="s">
        <v>222</v>
      </c>
      <c r="C400" s="2" t="s">
        <v>117</v>
      </c>
      <c r="D400" s="2" t="s">
        <v>15</v>
      </c>
      <c r="E400" s="2" t="s">
        <v>441</v>
      </c>
      <c r="F400" s="2" t="s">
        <v>27</v>
      </c>
      <c r="G400" s="16">
        <v>3420</v>
      </c>
    </row>
    <row r="401" spans="1:7" s="1" customFormat="1" ht="63">
      <c r="A401" s="35" t="s">
        <v>89</v>
      </c>
      <c r="B401" s="2" t="s">
        <v>222</v>
      </c>
      <c r="C401" s="2" t="s">
        <v>117</v>
      </c>
      <c r="D401" s="2" t="s">
        <v>15</v>
      </c>
      <c r="E401" s="2" t="s">
        <v>90</v>
      </c>
      <c r="F401" s="2"/>
      <c r="G401" s="16">
        <f>SUM(G402)</f>
        <v>13814.400000000001</v>
      </c>
    </row>
    <row r="402" spans="1:7" s="1" customFormat="1" ht="144.75" customHeight="1">
      <c r="A402" s="35" t="s">
        <v>438</v>
      </c>
      <c r="B402" s="2" t="s">
        <v>222</v>
      </c>
      <c r="C402" s="2" t="s">
        <v>117</v>
      </c>
      <c r="D402" s="2" t="s">
        <v>15</v>
      </c>
      <c r="E402" s="2" t="s">
        <v>91</v>
      </c>
      <c r="F402" s="2"/>
      <c r="G402" s="16">
        <f>SUM(G403:G405)</f>
        <v>13814.400000000001</v>
      </c>
    </row>
    <row r="403" spans="1:7" s="1" customFormat="1" ht="15.75">
      <c r="A403" s="35" t="s">
        <v>22</v>
      </c>
      <c r="B403" s="2" t="s">
        <v>222</v>
      </c>
      <c r="C403" s="2" t="s">
        <v>117</v>
      </c>
      <c r="D403" s="2" t="s">
        <v>15</v>
      </c>
      <c r="E403" s="2" t="s">
        <v>91</v>
      </c>
      <c r="F403" s="2" t="s">
        <v>115</v>
      </c>
      <c r="G403" s="16">
        <f>7830.5-7+200</f>
        <v>8023.5</v>
      </c>
    </row>
    <row r="404" spans="1:7" s="1" customFormat="1" ht="31.5">
      <c r="A404" s="35" t="s">
        <v>26</v>
      </c>
      <c r="B404" s="2" t="s">
        <v>222</v>
      </c>
      <c r="C404" s="2" t="s">
        <v>117</v>
      </c>
      <c r="D404" s="2" t="s">
        <v>15</v>
      </c>
      <c r="E404" s="2" t="s">
        <v>91</v>
      </c>
      <c r="F404" s="2" t="s">
        <v>27</v>
      </c>
      <c r="G404" s="16">
        <f>1124.2-59</f>
        <v>1065.2</v>
      </c>
    </row>
    <row r="405" spans="1:7" s="1" customFormat="1" ht="48.75" customHeight="1">
      <c r="A405" s="23" t="s">
        <v>199</v>
      </c>
      <c r="B405" s="2" t="s">
        <v>222</v>
      </c>
      <c r="C405" s="2" t="s">
        <v>117</v>
      </c>
      <c r="D405" s="2" t="s">
        <v>15</v>
      </c>
      <c r="E405" s="2" t="s">
        <v>91</v>
      </c>
      <c r="F405" s="2" t="s">
        <v>200</v>
      </c>
      <c r="G405" s="16">
        <f>4332.7+293+100</f>
        <v>4725.7</v>
      </c>
    </row>
    <row r="406" spans="1:7" s="1" customFormat="1" ht="96" customHeight="1">
      <c r="A406" s="35" t="s">
        <v>116</v>
      </c>
      <c r="B406" s="2" t="s">
        <v>222</v>
      </c>
      <c r="C406" s="2" t="s">
        <v>117</v>
      </c>
      <c r="D406" s="2" t="s">
        <v>15</v>
      </c>
      <c r="E406" s="2" t="s">
        <v>55</v>
      </c>
      <c r="F406" s="2"/>
      <c r="G406" s="16">
        <f>SUM(G407)</f>
        <v>178.4</v>
      </c>
    </row>
    <row r="407" spans="1:7" s="1" customFormat="1" ht="47.25" customHeight="1">
      <c r="A407" s="35" t="s">
        <v>235</v>
      </c>
      <c r="B407" s="2" t="s">
        <v>222</v>
      </c>
      <c r="C407" s="2" t="s">
        <v>117</v>
      </c>
      <c r="D407" s="2" t="s">
        <v>15</v>
      </c>
      <c r="E407" s="2" t="s">
        <v>236</v>
      </c>
      <c r="F407" s="2"/>
      <c r="G407" s="16">
        <f>SUM(G408:G411)</f>
        <v>178.4</v>
      </c>
    </row>
    <row r="408" spans="1:7" s="1" customFormat="1" ht="15.75">
      <c r="A408" s="23" t="s">
        <v>22</v>
      </c>
      <c r="B408" s="2" t="s">
        <v>222</v>
      </c>
      <c r="C408" s="2" t="s">
        <v>117</v>
      </c>
      <c r="D408" s="2" t="s">
        <v>15</v>
      </c>
      <c r="E408" s="2" t="s">
        <v>236</v>
      </c>
      <c r="F408" s="2" t="s">
        <v>115</v>
      </c>
      <c r="G408" s="16">
        <f>0.737</f>
        <v>0.737</v>
      </c>
    </row>
    <row r="409" spans="1:7" s="1" customFormat="1" ht="31.5">
      <c r="A409" s="23" t="s">
        <v>26</v>
      </c>
      <c r="B409" s="2" t="s">
        <v>222</v>
      </c>
      <c r="C409" s="2" t="s">
        <v>117</v>
      </c>
      <c r="D409" s="2" t="s">
        <v>15</v>
      </c>
      <c r="E409" s="2" t="s">
        <v>236</v>
      </c>
      <c r="F409" s="2" t="s">
        <v>27</v>
      </c>
      <c r="G409" s="16">
        <f>1+151.1-0.737-24.6-0.1</f>
        <v>126.66300000000001</v>
      </c>
    </row>
    <row r="410" spans="1:7" s="1" customFormat="1" ht="18.75" customHeight="1" hidden="1">
      <c r="A410" s="23" t="s">
        <v>52</v>
      </c>
      <c r="B410" s="2" t="s">
        <v>222</v>
      </c>
      <c r="C410" s="2" t="s">
        <v>117</v>
      </c>
      <c r="D410" s="2" t="s">
        <v>15</v>
      </c>
      <c r="E410" s="2" t="s">
        <v>236</v>
      </c>
      <c r="F410" s="2" t="s">
        <v>53</v>
      </c>
      <c r="G410" s="16"/>
    </row>
    <row r="411" spans="1:7" s="1" customFormat="1" ht="47.25" customHeight="1">
      <c r="A411" s="23" t="s">
        <v>199</v>
      </c>
      <c r="B411" s="2" t="s">
        <v>222</v>
      </c>
      <c r="C411" s="2" t="s">
        <v>117</v>
      </c>
      <c r="D411" s="2" t="s">
        <v>15</v>
      </c>
      <c r="E411" s="2" t="s">
        <v>236</v>
      </c>
      <c r="F411" s="2" t="s">
        <v>200</v>
      </c>
      <c r="G411" s="16">
        <v>51</v>
      </c>
    </row>
    <row r="412" spans="1:7" s="1" customFormat="1" ht="15.75">
      <c r="A412" s="23" t="s">
        <v>183</v>
      </c>
      <c r="B412" s="2" t="s">
        <v>222</v>
      </c>
      <c r="C412" s="2" t="s">
        <v>117</v>
      </c>
      <c r="D412" s="2" t="s">
        <v>15</v>
      </c>
      <c r="E412" s="2" t="s">
        <v>73</v>
      </c>
      <c r="F412" s="2"/>
      <c r="G412" s="16">
        <f>SUM(G413)</f>
        <v>951.0406499999999</v>
      </c>
    </row>
    <row r="413" spans="1:7" s="1" customFormat="1" ht="47.25">
      <c r="A413" s="23" t="s">
        <v>237</v>
      </c>
      <c r="B413" s="2" t="s">
        <v>222</v>
      </c>
      <c r="C413" s="2" t="s">
        <v>117</v>
      </c>
      <c r="D413" s="2" t="s">
        <v>15</v>
      </c>
      <c r="E413" s="2" t="s">
        <v>238</v>
      </c>
      <c r="F413" s="2"/>
      <c r="G413" s="16">
        <f>SUM(G414)</f>
        <v>951.0406499999999</v>
      </c>
    </row>
    <row r="414" spans="1:7" s="1" customFormat="1" ht="78.75">
      <c r="A414" s="23" t="s">
        <v>239</v>
      </c>
      <c r="B414" s="2" t="s">
        <v>222</v>
      </c>
      <c r="C414" s="2" t="s">
        <v>117</v>
      </c>
      <c r="D414" s="2" t="s">
        <v>15</v>
      </c>
      <c r="E414" s="2" t="s">
        <v>240</v>
      </c>
      <c r="F414" s="2"/>
      <c r="G414" s="16">
        <f>SUM(G415:G416)</f>
        <v>951.0406499999999</v>
      </c>
    </row>
    <row r="415" spans="1:7" s="1" customFormat="1" ht="31.5">
      <c r="A415" s="23" t="s">
        <v>26</v>
      </c>
      <c r="B415" s="2" t="s">
        <v>222</v>
      </c>
      <c r="C415" s="2" t="s">
        <v>117</v>
      </c>
      <c r="D415" s="2" t="s">
        <v>15</v>
      </c>
      <c r="E415" s="2" t="s">
        <v>240</v>
      </c>
      <c r="F415" s="2" t="s">
        <v>27</v>
      </c>
      <c r="G415" s="16">
        <f>490.41335-78.95935-60</f>
        <v>351.45399999999995</v>
      </c>
    </row>
    <row r="416" spans="1:7" s="1" customFormat="1" ht="48.75" customHeight="1">
      <c r="A416" s="23" t="s">
        <v>241</v>
      </c>
      <c r="B416" s="2" t="s">
        <v>222</v>
      </c>
      <c r="C416" s="2" t="s">
        <v>117</v>
      </c>
      <c r="D416" s="2" t="s">
        <v>15</v>
      </c>
      <c r="E416" s="2" t="s">
        <v>240</v>
      </c>
      <c r="F416" s="2" t="s">
        <v>242</v>
      </c>
      <c r="G416" s="16">
        <f>399.58665+200</f>
        <v>599.58665</v>
      </c>
    </row>
    <row r="417" spans="1:7" s="1" customFormat="1" ht="17.25" customHeight="1">
      <c r="A417" s="23" t="s">
        <v>58</v>
      </c>
      <c r="B417" s="2" t="s">
        <v>222</v>
      </c>
      <c r="C417" s="2" t="s">
        <v>117</v>
      </c>
      <c r="D417" s="2" t="s">
        <v>15</v>
      </c>
      <c r="E417" s="2" t="s">
        <v>59</v>
      </c>
      <c r="F417" s="2"/>
      <c r="G417" s="16">
        <f>SUM(G418)</f>
        <v>76</v>
      </c>
    </row>
    <row r="418" spans="1:7" s="1" customFormat="1" ht="31.5">
      <c r="A418" s="23" t="s">
        <v>422</v>
      </c>
      <c r="B418" s="2" t="s">
        <v>222</v>
      </c>
      <c r="C418" s="2" t="s">
        <v>117</v>
      </c>
      <c r="D418" s="2" t="s">
        <v>15</v>
      </c>
      <c r="E418" s="2" t="s">
        <v>133</v>
      </c>
      <c r="F418" s="2"/>
      <c r="G418" s="16">
        <f>SUM(G419)</f>
        <v>76</v>
      </c>
    </row>
    <row r="419" spans="1:7" s="1" customFormat="1" ht="63">
      <c r="A419" s="23" t="s">
        <v>421</v>
      </c>
      <c r="B419" s="2" t="s">
        <v>222</v>
      </c>
      <c r="C419" s="2" t="s">
        <v>117</v>
      </c>
      <c r="D419" s="2" t="s">
        <v>15</v>
      </c>
      <c r="E419" s="2" t="s">
        <v>420</v>
      </c>
      <c r="F419" s="2"/>
      <c r="G419" s="16">
        <f>SUM(G420:G421)</f>
        <v>76</v>
      </c>
    </row>
    <row r="420" spans="1:7" s="1" customFormat="1" ht="31.5">
      <c r="A420" s="23" t="s">
        <v>26</v>
      </c>
      <c r="B420" s="2" t="s">
        <v>222</v>
      </c>
      <c r="C420" s="2" t="s">
        <v>117</v>
      </c>
      <c r="D420" s="2" t="s">
        <v>15</v>
      </c>
      <c r="E420" s="2" t="s">
        <v>420</v>
      </c>
      <c r="F420" s="2" t="s">
        <v>27</v>
      </c>
      <c r="G420" s="16">
        <v>54</v>
      </c>
    </row>
    <row r="421" spans="1:7" s="1" customFormat="1" ht="49.5" customHeight="1">
      <c r="A421" s="23" t="s">
        <v>199</v>
      </c>
      <c r="B421" s="2" t="s">
        <v>222</v>
      </c>
      <c r="C421" s="2" t="s">
        <v>117</v>
      </c>
      <c r="D421" s="2" t="s">
        <v>15</v>
      </c>
      <c r="E421" s="2" t="s">
        <v>420</v>
      </c>
      <c r="F421" s="2" t="s">
        <v>200</v>
      </c>
      <c r="G421" s="16">
        <v>22</v>
      </c>
    </row>
    <row r="422" spans="1:7" s="1" customFormat="1" ht="15.75">
      <c r="A422" s="23" t="s">
        <v>194</v>
      </c>
      <c r="B422" s="2" t="s">
        <v>222</v>
      </c>
      <c r="C422" s="2" t="s">
        <v>117</v>
      </c>
      <c r="D422" s="2" t="s">
        <v>61</v>
      </c>
      <c r="E422" s="2"/>
      <c r="F422" s="2"/>
      <c r="G422" s="51">
        <f>SUM(G423,G429,G433,G442,G451,G461,G465,G469,G488)</f>
        <v>158205.86185999998</v>
      </c>
    </row>
    <row r="423" spans="1:7" s="41" customFormat="1" ht="15.75">
      <c r="A423" s="23" t="s">
        <v>333</v>
      </c>
      <c r="B423" s="2" t="s">
        <v>222</v>
      </c>
      <c r="C423" s="2" t="s">
        <v>117</v>
      </c>
      <c r="D423" s="2" t="s">
        <v>61</v>
      </c>
      <c r="E423" s="2" t="s">
        <v>329</v>
      </c>
      <c r="F423" s="2"/>
      <c r="G423" s="16">
        <f>SUM(G424,G426)</f>
        <v>13475.644</v>
      </c>
    </row>
    <row r="424" spans="1:7" s="41" customFormat="1" ht="15.75" customHeight="1">
      <c r="A424" s="23" t="s">
        <v>427</v>
      </c>
      <c r="B424" s="2" t="s">
        <v>222</v>
      </c>
      <c r="C424" s="2" t="s">
        <v>117</v>
      </c>
      <c r="D424" s="2" t="s">
        <v>61</v>
      </c>
      <c r="E424" s="2" t="s">
        <v>428</v>
      </c>
      <c r="F424" s="2"/>
      <c r="G424" s="16">
        <f>SUM(G425)</f>
        <v>13295.642</v>
      </c>
    </row>
    <row r="425" spans="1:7" s="41" customFormat="1" ht="33" customHeight="1">
      <c r="A425" s="23" t="s">
        <v>429</v>
      </c>
      <c r="B425" s="2" t="s">
        <v>222</v>
      </c>
      <c r="C425" s="2" t="s">
        <v>117</v>
      </c>
      <c r="D425" s="2" t="s">
        <v>61</v>
      </c>
      <c r="E425" s="2" t="s">
        <v>428</v>
      </c>
      <c r="F425" s="2" t="s">
        <v>430</v>
      </c>
      <c r="G425" s="16">
        <v>13295.642</v>
      </c>
    </row>
    <row r="426" spans="1:7" s="41" customFormat="1" ht="15.75">
      <c r="A426" s="23" t="s">
        <v>335</v>
      </c>
      <c r="B426" s="2" t="s">
        <v>222</v>
      </c>
      <c r="C426" s="2" t="s">
        <v>117</v>
      </c>
      <c r="D426" s="2" t="s">
        <v>61</v>
      </c>
      <c r="E426" s="2" t="s">
        <v>330</v>
      </c>
      <c r="F426" s="2"/>
      <c r="G426" s="16">
        <f>SUM(G427)</f>
        <v>180.002</v>
      </c>
    </row>
    <row r="427" spans="1:7" s="41" customFormat="1" ht="33" customHeight="1">
      <c r="A427" s="23" t="s">
        <v>334</v>
      </c>
      <c r="B427" s="2" t="s">
        <v>222</v>
      </c>
      <c r="C427" s="2" t="s">
        <v>117</v>
      </c>
      <c r="D427" s="2" t="s">
        <v>61</v>
      </c>
      <c r="E427" s="2" t="s">
        <v>331</v>
      </c>
      <c r="F427" s="2"/>
      <c r="G427" s="16">
        <f>SUM(G428)</f>
        <v>180.002</v>
      </c>
    </row>
    <row r="428" spans="1:7" s="41" customFormat="1" ht="33" customHeight="1">
      <c r="A428" s="23" t="s">
        <v>26</v>
      </c>
      <c r="B428" s="2" t="s">
        <v>222</v>
      </c>
      <c r="C428" s="2" t="s">
        <v>117</v>
      </c>
      <c r="D428" s="2" t="s">
        <v>61</v>
      </c>
      <c r="E428" s="2" t="s">
        <v>331</v>
      </c>
      <c r="F428" s="2" t="s">
        <v>27</v>
      </c>
      <c r="G428" s="16">
        <v>180.002</v>
      </c>
    </row>
    <row r="429" spans="1:7" s="41" customFormat="1" ht="15.75">
      <c r="A429" s="23" t="s">
        <v>358</v>
      </c>
      <c r="B429" s="2" t="s">
        <v>222</v>
      </c>
      <c r="C429" s="2" t="s">
        <v>117</v>
      </c>
      <c r="D429" s="2" t="s">
        <v>61</v>
      </c>
      <c r="E429" s="2" t="s">
        <v>359</v>
      </c>
      <c r="F429" s="2"/>
      <c r="G429" s="16">
        <f>SUM(G430)</f>
        <v>1209</v>
      </c>
    </row>
    <row r="430" spans="1:7" s="41" customFormat="1" ht="33" customHeight="1">
      <c r="A430" s="23" t="s">
        <v>446</v>
      </c>
      <c r="B430" s="2" t="s">
        <v>222</v>
      </c>
      <c r="C430" s="2" t="s">
        <v>117</v>
      </c>
      <c r="D430" s="2" t="s">
        <v>61</v>
      </c>
      <c r="E430" s="2" t="s">
        <v>445</v>
      </c>
      <c r="F430" s="2"/>
      <c r="G430" s="16">
        <f>SUM(G431:G432)</f>
        <v>1209</v>
      </c>
    </row>
    <row r="431" spans="1:7" s="41" customFormat="1" ht="33" customHeight="1">
      <c r="A431" s="23" t="s">
        <v>35</v>
      </c>
      <c r="B431" s="2" t="s">
        <v>222</v>
      </c>
      <c r="C431" s="2" t="s">
        <v>117</v>
      </c>
      <c r="D431" s="2" t="s">
        <v>61</v>
      </c>
      <c r="E431" s="2" t="s">
        <v>445</v>
      </c>
      <c r="F431" s="2" t="s">
        <v>36</v>
      </c>
      <c r="G431" s="16">
        <v>636.045</v>
      </c>
    </row>
    <row r="432" spans="1:7" s="41" customFormat="1" ht="33" customHeight="1">
      <c r="A432" s="23" t="s">
        <v>26</v>
      </c>
      <c r="B432" s="2" t="s">
        <v>222</v>
      </c>
      <c r="C432" s="2" t="s">
        <v>117</v>
      </c>
      <c r="D432" s="2" t="s">
        <v>61</v>
      </c>
      <c r="E432" s="2" t="s">
        <v>445</v>
      </c>
      <c r="F432" s="2" t="s">
        <v>27</v>
      </c>
      <c r="G432" s="16">
        <f>1209-636.045</f>
        <v>572.955</v>
      </c>
    </row>
    <row r="433" spans="1:7" s="1" customFormat="1" ht="31.5">
      <c r="A433" s="23" t="s">
        <v>243</v>
      </c>
      <c r="B433" s="2" t="s">
        <v>222</v>
      </c>
      <c r="C433" s="2" t="s">
        <v>117</v>
      </c>
      <c r="D433" s="2" t="s">
        <v>61</v>
      </c>
      <c r="E433" s="2" t="s">
        <v>244</v>
      </c>
      <c r="F433" s="2"/>
      <c r="G433" s="16">
        <f>SUM(G434)</f>
        <v>15686.447259999999</v>
      </c>
    </row>
    <row r="434" spans="1:7" s="1" customFormat="1" ht="31.5">
      <c r="A434" s="23" t="s">
        <v>112</v>
      </c>
      <c r="B434" s="2" t="s">
        <v>222</v>
      </c>
      <c r="C434" s="2" t="s">
        <v>117</v>
      </c>
      <c r="D434" s="2" t="s">
        <v>61</v>
      </c>
      <c r="E434" s="2" t="s">
        <v>245</v>
      </c>
      <c r="F434" s="2"/>
      <c r="G434" s="16">
        <f>SUM(G435:G441)</f>
        <v>15686.447259999999</v>
      </c>
    </row>
    <row r="435" spans="1:7" s="1" customFormat="1" ht="31.5">
      <c r="A435" s="23" t="s">
        <v>24</v>
      </c>
      <c r="B435" s="2" t="s">
        <v>222</v>
      </c>
      <c r="C435" s="2" t="s">
        <v>117</v>
      </c>
      <c r="D435" s="2" t="s">
        <v>61</v>
      </c>
      <c r="E435" s="2" t="s">
        <v>245</v>
      </c>
      <c r="F435" s="2" t="s">
        <v>215</v>
      </c>
      <c r="G435" s="16">
        <f>5.727+78.075</f>
        <v>83.802</v>
      </c>
    </row>
    <row r="436" spans="1:7" s="1" customFormat="1" ht="31.5">
      <c r="A436" s="23" t="s">
        <v>35</v>
      </c>
      <c r="B436" s="2" t="s">
        <v>222</v>
      </c>
      <c r="C436" s="2" t="s">
        <v>117</v>
      </c>
      <c r="D436" s="2" t="s">
        <v>61</v>
      </c>
      <c r="E436" s="2" t="s">
        <v>245</v>
      </c>
      <c r="F436" s="2" t="s">
        <v>36</v>
      </c>
      <c r="G436" s="16">
        <f>329.5</f>
        <v>329.5</v>
      </c>
    </row>
    <row r="437" spans="1:7" s="1" customFormat="1" ht="31.5">
      <c r="A437" s="23" t="s">
        <v>26</v>
      </c>
      <c r="B437" s="2" t="s">
        <v>222</v>
      </c>
      <c r="C437" s="2" t="s">
        <v>117</v>
      </c>
      <c r="D437" s="2" t="s">
        <v>61</v>
      </c>
      <c r="E437" s="2" t="s">
        <v>245</v>
      </c>
      <c r="F437" s="2" t="s">
        <v>27</v>
      </c>
      <c r="G437" s="16">
        <f>13101.896+194.89+478.53+497-78.075+22.42+577.07151-0.00025</f>
        <v>14793.73226</v>
      </c>
    </row>
    <row r="438" spans="1:7" s="1" customFormat="1" ht="47.25">
      <c r="A438" s="23" t="s">
        <v>178</v>
      </c>
      <c r="B438" s="2" t="s">
        <v>222</v>
      </c>
      <c r="C438" s="2" t="s">
        <v>117</v>
      </c>
      <c r="D438" s="2" t="s">
        <v>61</v>
      </c>
      <c r="E438" s="2" t="s">
        <v>245</v>
      </c>
      <c r="F438" s="2" t="s">
        <v>179</v>
      </c>
      <c r="G438" s="16">
        <v>20.4</v>
      </c>
    </row>
    <row r="439" spans="1:7" s="1" customFormat="1" ht="126" hidden="1">
      <c r="A439" s="35" t="s">
        <v>228</v>
      </c>
      <c r="B439" s="2" t="s">
        <v>222</v>
      </c>
      <c r="C439" s="2" t="s">
        <v>117</v>
      </c>
      <c r="D439" s="2" t="s">
        <v>61</v>
      </c>
      <c r="E439" s="2" t="s">
        <v>245</v>
      </c>
      <c r="F439" s="2" t="s">
        <v>38</v>
      </c>
      <c r="G439" s="16"/>
    </row>
    <row r="440" spans="1:7" s="1" customFormat="1" ht="31.5">
      <c r="A440" s="35" t="s">
        <v>96</v>
      </c>
      <c r="B440" s="2" t="s">
        <v>222</v>
      </c>
      <c r="C440" s="2" t="s">
        <v>117</v>
      </c>
      <c r="D440" s="2" t="s">
        <v>61</v>
      </c>
      <c r="E440" s="2" t="s">
        <v>245</v>
      </c>
      <c r="F440" s="2" t="s">
        <v>40</v>
      </c>
      <c r="G440" s="16">
        <f>270-9.557</f>
        <v>260.443</v>
      </c>
    </row>
    <row r="441" spans="1:7" s="1" customFormat="1" ht="31.5">
      <c r="A441" s="35" t="s">
        <v>54</v>
      </c>
      <c r="B441" s="2" t="s">
        <v>222</v>
      </c>
      <c r="C441" s="2" t="s">
        <v>117</v>
      </c>
      <c r="D441" s="2" t="s">
        <v>61</v>
      </c>
      <c r="E441" s="2" t="s">
        <v>245</v>
      </c>
      <c r="F441" s="2" t="s">
        <v>42</v>
      </c>
      <c r="G441" s="16">
        <f>150+25+23.57</f>
        <v>198.57</v>
      </c>
    </row>
    <row r="442" spans="1:7" s="1" customFormat="1" ht="15.75">
      <c r="A442" s="23" t="s">
        <v>195</v>
      </c>
      <c r="B442" s="2" t="s">
        <v>222</v>
      </c>
      <c r="C442" s="2" t="s">
        <v>117</v>
      </c>
      <c r="D442" s="2" t="s">
        <v>61</v>
      </c>
      <c r="E442" s="2" t="s">
        <v>196</v>
      </c>
      <c r="F442" s="2"/>
      <c r="G442" s="16">
        <f>SUM(G443)</f>
        <v>279.82059999999996</v>
      </c>
    </row>
    <row r="443" spans="1:7" s="1" customFormat="1" ht="31.5">
      <c r="A443" s="23" t="s">
        <v>112</v>
      </c>
      <c r="B443" s="2" t="s">
        <v>222</v>
      </c>
      <c r="C443" s="2" t="s">
        <v>117</v>
      </c>
      <c r="D443" s="2" t="s">
        <v>61</v>
      </c>
      <c r="E443" s="2" t="s">
        <v>246</v>
      </c>
      <c r="F443" s="2"/>
      <c r="G443" s="16">
        <f>SUM(G444:G450)</f>
        <v>279.82059999999996</v>
      </c>
    </row>
    <row r="444" spans="1:7" s="1" customFormat="1" ht="31.5">
      <c r="A444" s="23" t="s">
        <v>24</v>
      </c>
      <c r="B444" s="2" t="s">
        <v>222</v>
      </c>
      <c r="C444" s="2" t="s">
        <v>117</v>
      </c>
      <c r="D444" s="2" t="s">
        <v>61</v>
      </c>
      <c r="E444" s="2" t="s">
        <v>246</v>
      </c>
      <c r="F444" s="2" t="s">
        <v>215</v>
      </c>
      <c r="G444" s="16">
        <f>15+3.5-4.72</f>
        <v>13.780000000000001</v>
      </c>
    </row>
    <row r="445" spans="1:7" s="1" customFormat="1" ht="31.5">
      <c r="A445" s="23" t="s">
        <v>35</v>
      </c>
      <c r="B445" s="2" t="s">
        <v>222</v>
      </c>
      <c r="C445" s="2" t="s">
        <v>117</v>
      </c>
      <c r="D445" s="2" t="s">
        <v>61</v>
      </c>
      <c r="E445" s="2" t="s">
        <v>246</v>
      </c>
      <c r="F445" s="2" t="s">
        <v>36</v>
      </c>
      <c r="G445" s="16">
        <f>13-8.35</f>
        <v>4.65</v>
      </c>
    </row>
    <row r="446" spans="1:7" s="1" customFormat="1" ht="31.5">
      <c r="A446" s="23" t="s">
        <v>26</v>
      </c>
      <c r="B446" s="2" t="s">
        <v>222</v>
      </c>
      <c r="C446" s="2" t="s">
        <v>117</v>
      </c>
      <c r="D446" s="2" t="s">
        <v>61</v>
      </c>
      <c r="E446" s="2" t="s">
        <v>246</v>
      </c>
      <c r="F446" s="2" t="s">
        <v>27</v>
      </c>
      <c r="G446" s="16">
        <f>251.5+30-66-18.5+24.1-2+18.5906</f>
        <v>237.6906</v>
      </c>
    </row>
    <row r="447" spans="1:7" s="1" customFormat="1" ht="47.25" hidden="1">
      <c r="A447" s="23" t="s">
        <v>178</v>
      </c>
      <c r="B447" s="2" t="s">
        <v>222</v>
      </c>
      <c r="C447" s="2" t="s">
        <v>117</v>
      </c>
      <c r="D447" s="2" t="s">
        <v>61</v>
      </c>
      <c r="E447" s="2" t="s">
        <v>246</v>
      </c>
      <c r="F447" s="2" t="s">
        <v>179</v>
      </c>
      <c r="G447" s="16"/>
    </row>
    <row r="448" spans="1:7" s="1" customFormat="1" ht="126" hidden="1">
      <c r="A448" s="35" t="s">
        <v>228</v>
      </c>
      <c r="B448" s="2" t="s">
        <v>222</v>
      </c>
      <c r="C448" s="2" t="s">
        <v>117</v>
      </c>
      <c r="D448" s="2" t="s">
        <v>61</v>
      </c>
      <c r="E448" s="2" t="s">
        <v>246</v>
      </c>
      <c r="F448" s="2" t="s">
        <v>38</v>
      </c>
      <c r="G448" s="16"/>
    </row>
    <row r="449" spans="1:7" s="1" customFormat="1" ht="31.5">
      <c r="A449" s="35" t="s">
        <v>96</v>
      </c>
      <c r="B449" s="2" t="s">
        <v>222</v>
      </c>
      <c r="C449" s="2" t="s">
        <v>117</v>
      </c>
      <c r="D449" s="2" t="s">
        <v>61</v>
      </c>
      <c r="E449" s="2" t="s">
        <v>246</v>
      </c>
      <c r="F449" s="2" t="s">
        <v>40</v>
      </c>
      <c r="G449" s="16">
        <v>1.7</v>
      </c>
    </row>
    <row r="450" spans="1:7" s="1" customFormat="1" ht="31.5">
      <c r="A450" s="35" t="s">
        <v>54</v>
      </c>
      <c r="B450" s="2" t="s">
        <v>222</v>
      </c>
      <c r="C450" s="2" t="s">
        <v>117</v>
      </c>
      <c r="D450" s="2" t="s">
        <v>61</v>
      </c>
      <c r="E450" s="2" t="s">
        <v>246</v>
      </c>
      <c r="F450" s="2" t="s">
        <v>42</v>
      </c>
      <c r="G450" s="16">
        <f>20+2</f>
        <v>22</v>
      </c>
    </row>
    <row r="451" spans="1:7" s="1" customFormat="1" ht="15.75">
      <c r="A451" s="35" t="s">
        <v>413</v>
      </c>
      <c r="B451" s="2" t="s">
        <v>222</v>
      </c>
      <c r="C451" s="2" t="s">
        <v>117</v>
      </c>
      <c r="D451" s="2" t="s">
        <v>61</v>
      </c>
      <c r="E451" s="2" t="s">
        <v>412</v>
      </c>
      <c r="F451" s="2"/>
      <c r="G451" s="16">
        <f>SUM(G452,G455)</f>
        <v>44787.899999999994</v>
      </c>
    </row>
    <row r="452" spans="1:7" s="1" customFormat="1" ht="31.5">
      <c r="A452" s="35" t="s">
        <v>414</v>
      </c>
      <c r="B452" s="2" t="s">
        <v>222</v>
      </c>
      <c r="C452" s="2" t="s">
        <v>117</v>
      </c>
      <c r="D452" s="2" t="s">
        <v>61</v>
      </c>
      <c r="E452" s="2" t="s">
        <v>411</v>
      </c>
      <c r="F452" s="2"/>
      <c r="G452" s="16">
        <f>SUM(G453:G454)</f>
        <v>10106.500000000002</v>
      </c>
    </row>
    <row r="453" spans="1:7" s="1" customFormat="1" ht="31.5">
      <c r="A453" s="23" t="s">
        <v>35</v>
      </c>
      <c r="B453" s="2" t="s">
        <v>222</v>
      </c>
      <c r="C453" s="2" t="s">
        <v>117</v>
      </c>
      <c r="D453" s="2" t="s">
        <v>61</v>
      </c>
      <c r="E453" s="2" t="s">
        <v>411</v>
      </c>
      <c r="F453" s="2" t="s">
        <v>36</v>
      </c>
      <c r="G453" s="16">
        <f>1095.7+612.8</f>
        <v>1708.5</v>
      </c>
    </row>
    <row r="454" spans="1:7" s="1" customFormat="1" ht="31.5">
      <c r="A454" s="23" t="s">
        <v>26</v>
      </c>
      <c r="B454" s="2" t="s">
        <v>222</v>
      </c>
      <c r="C454" s="2" t="s">
        <v>117</v>
      </c>
      <c r="D454" s="2" t="s">
        <v>61</v>
      </c>
      <c r="E454" s="2" t="s">
        <v>411</v>
      </c>
      <c r="F454" s="2" t="s">
        <v>27</v>
      </c>
      <c r="G454" s="16">
        <f>7930.1+9+1070.6+1.1-612.8</f>
        <v>8398.000000000002</v>
      </c>
    </row>
    <row r="455" spans="1:7" s="1" customFormat="1" ht="110.25">
      <c r="A455" s="35" t="s">
        <v>451</v>
      </c>
      <c r="B455" s="2" t="s">
        <v>222</v>
      </c>
      <c r="C455" s="2" t="s">
        <v>117</v>
      </c>
      <c r="D455" s="2" t="s">
        <v>61</v>
      </c>
      <c r="E455" s="2" t="s">
        <v>450</v>
      </c>
      <c r="F455" s="2"/>
      <c r="G455" s="16">
        <f>SUM(G456:G460)</f>
        <v>34681.399999999994</v>
      </c>
    </row>
    <row r="456" spans="1:7" s="1" customFormat="1" ht="15.75">
      <c r="A456" s="35" t="s">
        <v>22</v>
      </c>
      <c r="B456" s="2" t="s">
        <v>222</v>
      </c>
      <c r="C456" s="2" t="s">
        <v>117</v>
      </c>
      <c r="D456" s="2" t="s">
        <v>61</v>
      </c>
      <c r="E456" s="2" t="s">
        <v>450</v>
      </c>
      <c r="F456" s="2" t="s">
        <v>115</v>
      </c>
      <c r="G456" s="16">
        <f>29237.297+36</f>
        <v>29273.297</v>
      </c>
    </row>
    <row r="457" spans="1:7" s="1" customFormat="1" ht="31.5">
      <c r="A457" s="35" t="s">
        <v>24</v>
      </c>
      <c r="B457" s="2" t="s">
        <v>222</v>
      </c>
      <c r="C457" s="2" t="s">
        <v>117</v>
      </c>
      <c r="D457" s="2" t="s">
        <v>61</v>
      </c>
      <c r="E457" s="2" t="s">
        <v>450</v>
      </c>
      <c r="F457" s="2" t="s">
        <v>215</v>
      </c>
      <c r="G457" s="16">
        <v>262.027</v>
      </c>
    </row>
    <row r="458" spans="1:7" s="1" customFormat="1" ht="31.5">
      <c r="A458" s="35" t="s">
        <v>35</v>
      </c>
      <c r="B458" s="2" t="s">
        <v>222</v>
      </c>
      <c r="C458" s="2" t="s">
        <v>117</v>
      </c>
      <c r="D458" s="2" t="s">
        <v>61</v>
      </c>
      <c r="E458" s="2" t="s">
        <v>450</v>
      </c>
      <c r="F458" s="2" t="s">
        <v>36</v>
      </c>
      <c r="G458" s="16">
        <v>571.076</v>
      </c>
    </row>
    <row r="459" spans="1:7" s="1" customFormat="1" ht="31.5">
      <c r="A459" s="35" t="s">
        <v>26</v>
      </c>
      <c r="B459" s="2" t="s">
        <v>222</v>
      </c>
      <c r="C459" s="2" t="s">
        <v>117</v>
      </c>
      <c r="D459" s="2" t="s">
        <v>61</v>
      </c>
      <c r="E459" s="2" t="s">
        <v>450</v>
      </c>
      <c r="F459" s="2" t="s">
        <v>27</v>
      </c>
      <c r="G459" s="16">
        <v>4575</v>
      </c>
    </row>
    <row r="460" spans="1:7" s="1" customFormat="1" ht="31.5" hidden="1">
      <c r="A460" s="35" t="s">
        <v>52</v>
      </c>
      <c r="B460" s="2" t="s">
        <v>222</v>
      </c>
      <c r="C460" s="2" t="s">
        <v>117</v>
      </c>
      <c r="D460" s="2" t="s">
        <v>61</v>
      </c>
      <c r="E460" s="2" t="s">
        <v>450</v>
      </c>
      <c r="F460" s="2" t="s">
        <v>42</v>
      </c>
      <c r="G460" s="16">
        <f>36-36</f>
        <v>0</v>
      </c>
    </row>
    <row r="461" spans="1:7" s="1" customFormat="1" ht="31.5">
      <c r="A461" s="35" t="s">
        <v>54</v>
      </c>
      <c r="B461" s="2" t="s">
        <v>222</v>
      </c>
      <c r="C461" s="2" t="s">
        <v>117</v>
      </c>
      <c r="D461" s="2" t="s">
        <v>61</v>
      </c>
      <c r="E461" s="2" t="s">
        <v>247</v>
      </c>
      <c r="F461" s="2"/>
      <c r="G461" s="16">
        <f>SUM(G462)</f>
        <v>1763.9</v>
      </c>
    </row>
    <row r="462" spans="1:7" s="1" customFormat="1" ht="31.5">
      <c r="A462" s="23" t="s">
        <v>248</v>
      </c>
      <c r="B462" s="2" t="s">
        <v>222</v>
      </c>
      <c r="C462" s="2" t="s">
        <v>117</v>
      </c>
      <c r="D462" s="2" t="s">
        <v>61</v>
      </c>
      <c r="E462" s="2" t="s">
        <v>249</v>
      </c>
      <c r="F462" s="2"/>
      <c r="G462" s="16">
        <f>SUM(G463:G464)</f>
        <v>1763.9</v>
      </c>
    </row>
    <row r="463" spans="1:7" s="1" customFormat="1" ht="15.75">
      <c r="A463" s="23" t="s">
        <v>22</v>
      </c>
      <c r="B463" s="2" t="s">
        <v>222</v>
      </c>
      <c r="C463" s="2" t="s">
        <v>117</v>
      </c>
      <c r="D463" s="2" t="s">
        <v>61</v>
      </c>
      <c r="E463" s="2" t="s">
        <v>249</v>
      </c>
      <c r="F463" s="2" t="s">
        <v>115</v>
      </c>
      <c r="G463" s="16">
        <f>1758+4.505</f>
        <v>1762.505</v>
      </c>
    </row>
    <row r="464" spans="1:7" s="1" customFormat="1" ht="31.5">
      <c r="A464" s="23" t="s">
        <v>26</v>
      </c>
      <c r="B464" s="2" t="s">
        <v>222</v>
      </c>
      <c r="C464" s="2" t="s">
        <v>117</v>
      </c>
      <c r="D464" s="2" t="s">
        <v>61</v>
      </c>
      <c r="E464" s="2" t="s">
        <v>249</v>
      </c>
      <c r="F464" s="2" t="s">
        <v>27</v>
      </c>
      <c r="G464" s="16">
        <f>8.8-2.9-4.505</f>
        <v>1.3950000000000005</v>
      </c>
    </row>
    <row r="465" spans="1:7" s="1" customFormat="1" ht="63">
      <c r="A465" s="35" t="s">
        <v>89</v>
      </c>
      <c r="B465" s="2" t="s">
        <v>222</v>
      </c>
      <c r="C465" s="2" t="s">
        <v>117</v>
      </c>
      <c r="D465" s="2" t="s">
        <v>61</v>
      </c>
      <c r="E465" s="2" t="s">
        <v>90</v>
      </c>
      <c r="F465" s="2"/>
      <c r="G465" s="16">
        <f>SUM(G466)</f>
        <v>11442</v>
      </c>
    </row>
    <row r="466" spans="1:7" s="1" customFormat="1" ht="145.5" customHeight="1">
      <c r="A466" s="35" t="s">
        <v>438</v>
      </c>
      <c r="B466" s="2" t="s">
        <v>222</v>
      </c>
      <c r="C466" s="2" t="s">
        <v>117</v>
      </c>
      <c r="D466" s="2" t="s">
        <v>61</v>
      </c>
      <c r="E466" s="2" t="s">
        <v>91</v>
      </c>
      <c r="F466" s="2"/>
      <c r="G466" s="16">
        <f>SUM(G467:G468)</f>
        <v>11442</v>
      </c>
    </row>
    <row r="467" spans="1:7" s="1" customFormat="1" ht="15.75">
      <c r="A467" s="23" t="s">
        <v>22</v>
      </c>
      <c r="B467" s="2" t="s">
        <v>222</v>
      </c>
      <c r="C467" s="2" t="s">
        <v>117</v>
      </c>
      <c r="D467" s="2" t="s">
        <v>61</v>
      </c>
      <c r="E467" s="2" t="s">
        <v>91</v>
      </c>
      <c r="F467" s="2" t="s">
        <v>115</v>
      </c>
      <c r="G467" s="16">
        <f>2763.1+3978+130-365-44+220</f>
        <v>6682.1</v>
      </c>
    </row>
    <row r="468" spans="1:7" s="1" customFormat="1" ht="31.5">
      <c r="A468" s="23" t="s">
        <v>26</v>
      </c>
      <c r="B468" s="2" t="s">
        <v>222</v>
      </c>
      <c r="C468" s="2" t="s">
        <v>117</v>
      </c>
      <c r="D468" s="2" t="s">
        <v>61</v>
      </c>
      <c r="E468" s="2" t="s">
        <v>91</v>
      </c>
      <c r="F468" s="2" t="s">
        <v>27</v>
      </c>
      <c r="G468" s="16">
        <f>4488.9+246.6+646.4-130-536+44</f>
        <v>4759.9</v>
      </c>
    </row>
    <row r="469" spans="1:7" s="1" customFormat="1" ht="96" customHeight="1">
      <c r="A469" s="35" t="s">
        <v>116</v>
      </c>
      <c r="B469" s="2" t="s">
        <v>222</v>
      </c>
      <c r="C469" s="2" t="s">
        <v>117</v>
      </c>
      <c r="D469" s="2" t="s">
        <v>61</v>
      </c>
      <c r="E469" s="2" t="s">
        <v>55</v>
      </c>
      <c r="F469" s="2"/>
      <c r="G469" s="16">
        <f>SUM(G470,G477,G480,G484)</f>
        <v>68249.6</v>
      </c>
    </row>
    <row r="470" spans="1:7" s="1" customFormat="1" ht="94.5" customHeight="1">
      <c r="A470" s="35" t="s">
        <v>250</v>
      </c>
      <c r="B470" s="2" t="s">
        <v>222</v>
      </c>
      <c r="C470" s="2" t="s">
        <v>117</v>
      </c>
      <c r="D470" s="2" t="s">
        <v>61</v>
      </c>
      <c r="E470" s="2" t="s">
        <v>251</v>
      </c>
      <c r="F470" s="2"/>
      <c r="G470" s="16">
        <f>SUM(G471:G476)</f>
        <v>67504.6</v>
      </c>
    </row>
    <row r="471" spans="1:7" s="1" customFormat="1" ht="15.75">
      <c r="A471" s="35" t="s">
        <v>22</v>
      </c>
      <c r="B471" s="2" t="s">
        <v>222</v>
      </c>
      <c r="C471" s="2" t="s">
        <v>117</v>
      </c>
      <c r="D471" s="2" t="s">
        <v>61</v>
      </c>
      <c r="E471" s="2" t="s">
        <v>251</v>
      </c>
      <c r="F471" s="2" t="s">
        <v>115</v>
      </c>
      <c r="G471" s="16">
        <f>88290.5-29062.06768+10.801</f>
        <v>59239.23332</v>
      </c>
    </row>
    <row r="472" spans="1:7" s="1" customFormat="1" ht="31.5">
      <c r="A472" s="35" t="s">
        <v>24</v>
      </c>
      <c r="B472" s="2" t="s">
        <v>222</v>
      </c>
      <c r="C472" s="2" t="s">
        <v>117</v>
      </c>
      <c r="D472" s="2" t="s">
        <v>61</v>
      </c>
      <c r="E472" s="2" t="s">
        <v>251</v>
      </c>
      <c r="F472" s="2" t="s">
        <v>215</v>
      </c>
      <c r="G472" s="16">
        <f>790+135-304.73623-5</f>
        <v>615.26377</v>
      </c>
    </row>
    <row r="473" spans="1:7" s="1" customFormat="1" ht="31.5">
      <c r="A473" s="35" t="s">
        <v>35</v>
      </c>
      <c r="B473" s="2" t="s">
        <v>222</v>
      </c>
      <c r="C473" s="2" t="s">
        <v>117</v>
      </c>
      <c r="D473" s="2" t="s">
        <v>61</v>
      </c>
      <c r="E473" s="2" t="s">
        <v>251</v>
      </c>
      <c r="F473" s="2" t="s">
        <v>36</v>
      </c>
      <c r="G473" s="16">
        <f>2100-135-831.89872-11.7931+17.9+0.53</f>
        <v>1139.7381799999998</v>
      </c>
    </row>
    <row r="474" spans="1:7" s="1" customFormat="1" ht="31.5">
      <c r="A474" s="35" t="s">
        <v>26</v>
      </c>
      <c r="B474" s="2" t="s">
        <v>222</v>
      </c>
      <c r="C474" s="2" t="s">
        <v>117</v>
      </c>
      <c r="D474" s="2" t="s">
        <v>61</v>
      </c>
      <c r="E474" s="2" t="s">
        <v>251</v>
      </c>
      <c r="F474" s="2" t="s">
        <v>27</v>
      </c>
      <c r="G474" s="16">
        <f>10950.5+15-4444.26764+0.9921-17.9+6.04027</f>
        <v>6510.364730000001</v>
      </c>
    </row>
    <row r="475" spans="1:7" s="1" customFormat="1" ht="31.5" hidden="1">
      <c r="A475" s="35" t="s">
        <v>52</v>
      </c>
      <c r="B475" s="2" t="s">
        <v>222</v>
      </c>
      <c r="C475" s="2" t="s">
        <v>117</v>
      </c>
      <c r="D475" s="2" t="s">
        <v>61</v>
      </c>
      <c r="E475" s="2" t="s">
        <v>251</v>
      </c>
      <c r="F475" s="2" t="s">
        <v>53</v>
      </c>
      <c r="G475" s="16"/>
    </row>
    <row r="476" spans="1:7" s="1" customFormat="1" ht="31.5" hidden="1">
      <c r="A476" s="35" t="s">
        <v>54</v>
      </c>
      <c r="B476" s="2" t="s">
        <v>222</v>
      </c>
      <c r="C476" s="2" t="s">
        <v>117</v>
      </c>
      <c r="D476" s="2" t="s">
        <v>61</v>
      </c>
      <c r="E476" s="2" t="s">
        <v>251</v>
      </c>
      <c r="F476" s="2" t="s">
        <v>42</v>
      </c>
      <c r="G476" s="16">
        <f>55-15-38.42973-1.57027</f>
        <v>0</v>
      </c>
    </row>
    <row r="477" spans="1:7" s="1" customFormat="1" ht="78.75">
      <c r="A477" s="23" t="s">
        <v>252</v>
      </c>
      <c r="B477" s="2" t="s">
        <v>222</v>
      </c>
      <c r="C477" s="2" t="s">
        <v>117</v>
      </c>
      <c r="D477" s="2" t="s">
        <v>61</v>
      </c>
      <c r="E477" s="2" t="s">
        <v>253</v>
      </c>
      <c r="F477" s="2"/>
      <c r="G477" s="16">
        <f>SUM(G478:G479)</f>
        <v>23.5</v>
      </c>
    </row>
    <row r="478" spans="1:7" s="1" customFormat="1" ht="15.75">
      <c r="A478" s="23" t="s">
        <v>22</v>
      </c>
      <c r="B478" s="2" t="s">
        <v>222</v>
      </c>
      <c r="C478" s="2" t="s">
        <v>117</v>
      </c>
      <c r="D478" s="2" t="s">
        <v>61</v>
      </c>
      <c r="E478" s="2" t="s">
        <v>253</v>
      </c>
      <c r="F478" s="2" t="s">
        <v>115</v>
      </c>
      <c r="G478" s="16">
        <f>23.4+0.07816</f>
        <v>23.47816</v>
      </c>
    </row>
    <row r="479" spans="1:7" s="1" customFormat="1" ht="31.5">
      <c r="A479" s="23" t="s">
        <v>26</v>
      </c>
      <c r="B479" s="2" t="s">
        <v>222</v>
      </c>
      <c r="C479" s="2" t="s">
        <v>117</v>
      </c>
      <c r="D479" s="2" t="s">
        <v>61</v>
      </c>
      <c r="E479" s="2" t="s">
        <v>253</v>
      </c>
      <c r="F479" s="2" t="s">
        <v>27</v>
      </c>
      <c r="G479" s="16">
        <f>0.1-0.07816</f>
        <v>0.021840000000000012</v>
      </c>
    </row>
    <row r="480" spans="1:7" s="1" customFormat="1" ht="78.75">
      <c r="A480" s="23" t="s">
        <v>254</v>
      </c>
      <c r="B480" s="2" t="s">
        <v>222</v>
      </c>
      <c r="C480" s="2" t="s">
        <v>117</v>
      </c>
      <c r="D480" s="2" t="s">
        <v>61</v>
      </c>
      <c r="E480" s="2" t="s">
        <v>255</v>
      </c>
      <c r="F480" s="2"/>
      <c r="G480" s="16">
        <f>SUM(G481:G483)</f>
        <v>494.5</v>
      </c>
    </row>
    <row r="481" spans="1:7" s="1" customFormat="1" ht="15.75">
      <c r="A481" s="23" t="s">
        <v>22</v>
      </c>
      <c r="B481" s="2" t="s">
        <v>222</v>
      </c>
      <c r="C481" s="2" t="s">
        <v>117</v>
      </c>
      <c r="D481" s="2" t="s">
        <v>61</v>
      </c>
      <c r="E481" s="2" t="s">
        <v>255</v>
      </c>
      <c r="F481" s="2" t="s">
        <v>115</v>
      </c>
      <c r="G481" s="16">
        <v>1.38</v>
      </c>
    </row>
    <row r="482" spans="1:7" s="1" customFormat="1" ht="31.5">
      <c r="A482" s="23" t="s">
        <v>26</v>
      </c>
      <c r="B482" s="2" t="s">
        <v>222</v>
      </c>
      <c r="C482" s="2" t="s">
        <v>117</v>
      </c>
      <c r="D482" s="2" t="s">
        <v>61</v>
      </c>
      <c r="E482" s="2" t="s">
        <v>255</v>
      </c>
      <c r="F482" s="2" t="s">
        <v>27</v>
      </c>
      <c r="G482" s="16">
        <f>2.6-1.38-0.1</f>
        <v>1.12</v>
      </c>
    </row>
    <row r="483" spans="1:7" s="1" customFormat="1" ht="15.75">
      <c r="A483" s="23" t="s">
        <v>256</v>
      </c>
      <c r="B483" s="2" t="s">
        <v>222</v>
      </c>
      <c r="C483" s="2" t="s">
        <v>117</v>
      </c>
      <c r="D483" s="2" t="s">
        <v>61</v>
      </c>
      <c r="E483" s="2" t="s">
        <v>255</v>
      </c>
      <c r="F483" s="2" t="s">
        <v>257</v>
      </c>
      <c r="G483" s="16">
        <f>511.2-19.2</f>
        <v>492</v>
      </c>
    </row>
    <row r="484" spans="1:7" s="1" customFormat="1" ht="63">
      <c r="A484" s="23" t="s">
        <v>258</v>
      </c>
      <c r="B484" s="2" t="s">
        <v>222</v>
      </c>
      <c r="C484" s="2" t="s">
        <v>117</v>
      </c>
      <c r="D484" s="2" t="s">
        <v>61</v>
      </c>
      <c r="E484" s="2" t="s">
        <v>259</v>
      </c>
      <c r="F484" s="2"/>
      <c r="G484" s="16">
        <f>SUM(G485:G487)</f>
        <v>227</v>
      </c>
    </row>
    <row r="485" spans="1:7" s="1" customFormat="1" ht="15.75">
      <c r="A485" s="23" t="s">
        <v>22</v>
      </c>
      <c r="B485" s="2" t="s">
        <v>222</v>
      </c>
      <c r="C485" s="2" t="s">
        <v>117</v>
      </c>
      <c r="D485" s="2" t="s">
        <v>61</v>
      </c>
      <c r="E485" s="2" t="s">
        <v>259</v>
      </c>
      <c r="F485" s="2" t="s">
        <v>115</v>
      </c>
      <c r="G485" s="16">
        <v>0.92</v>
      </c>
    </row>
    <row r="486" spans="1:7" s="1" customFormat="1" ht="31.5">
      <c r="A486" s="23" t="s">
        <v>26</v>
      </c>
      <c r="B486" s="2" t="s">
        <v>222</v>
      </c>
      <c r="C486" s="2" t="s">
        <v>117</v>
      </c>
      <c r="D486" s="2" t="s">
        <v>61</v>
      </c>
      <c r="E486" s="2" t="s">
        <v>259</v>
      </c>
      <c r="F486" s="2" t="s">
        <v>27</v>
      </c>
      <c r="G486" s="16">
        <f>219.7-0.92</f>
        <v>218.78</v>
      </c>
    </row>
    <row r="487" spans="1:7" s="1" customFormat="1" ht="49.5" customHeight="1">
      <c r="A487" s="23" t="s">
        <v>199</v>
      </c>
      <c r="B487" s="2" t="s">
        <v>222</v>
      </c>
      <c r="C487" s="2" t="s">
        <v>117</v>
      </c>
      <c r="D487" s="2" t="s">
        <v>61</v>
      </c>
      <c r="E487" s="2" t="s">
        <v>259</v>
      </c>
      <c r="F487" s="2" t="s">
        <v>200</v>
      </c>
      <c r="G487" s="16">
        <v>7.3</v>
      </c>
    </row>
    <row r="488" spans="1:7" s="1" customFormat="1" ht="15.75" customHeight="1">
      <c r="A488" s="23" t="s">
        <v>58</v>
      </c>
      <c r="B488" s="2" t="s">
        <v>222</v>
      </c>
      <c r="C488" s="2" t="s">
        <v>117</v>
      </c>
      <c r="D488" s="2" t="s">
        <v>61</v>
      </c>
      <c r="E488" s="2" t="s">
        <v>59</v>
      </c>
      <c r="F488" s="2"/>
      <c r="G488" s="16">
        <f>SUM(G489)</f>
        <v>1311.5500000000002</v>
      </c>
    </row>
    <row r="489" spans="1:7" s="1" customFormat="1" ht="31.5">
      <c r="A489" s="23" t="s">
        <v>135</v>
      </c>
      <c r="B489" s="2" t="s">
        <v>222</v>
      </c>
      <c r="C489" s="2" t="s">
        <v>117</v>
      </c>
      <c r="D489" s="2" t="s">
        <v>61</v>
      </c>
      <c r="E489" s="2" t="s">
        <v>133</v>
      </c>
      <c r="F489" s="2"/>
      <c r="G489" s="16">
        <f>SUM(G490,G492,G494,G497,G499,G501,G503)</f>
        <v>1311.5500000000002</v>
      </c>
    </row>
    <row r="490" spans="1:7" s="1" customFormat="1" ht="63">
      <c r="A490" s="23" t="s">
        <v>421</v>
      </c>
      <c r="B490" s="2" t="s">
        <v>222</v>
      </c>
      <c r="C490" s="2" t="s">
        <v>117</v>
      </c>
      <c r="D490" s="2" t="s">
        <v>61</v>
      </c>
      <c r="E490" s="2" t="s">
        <v>420</v>
      </c>
      <c r="F490" s="2"/>
      <c r="G490" s="16">
        <f>SUM(G491)</f>
        <v>706</v>
      </c>
    </row>
    <row r="491" spans="1:7" s="1" customFormat="1" ht="31.5">
      <c r="A491" s="23" t="s">
        <v>26</v>
      </c>
      <c r="B491" s="2" t="s">
        <v>222</v>
      </c>
      <c r="C491" s="2" t="s">
        <v>117</v>
      </c>
      <c r="D491" s="2" t="s">
        <v>61</v>
      </c>
      <c r="E491" s="2" t="s">
        <v>420</v>
      </c>
      <c r="F491" s="2" t="s">
        <v>27</v>
      </c>
      <c r="G491" s="16">
        <v>706</v>
      </c>
    </row>
    <row r="492" spans="1:7" s="1" customFormat="1" ht="47.25" hidden="1">
      <c r="A492" s="23" t="s">
        <v>261</v>
      </c>
      <c r="B492" s="2" t="s">
        <v>222</v>
      </c>
      <c r="C492" s="2" t="s">
        <v>117</v>
      </c>
      <c r="D492" s="2" t="s">
        <v>61</v>
      </c>
      <c r="E492" s="2" t="s">
        <v>262</v>
      </c>
      <c r="F492" s="2"/>
      <c r="G492" s="16">
        <f>SUM(G493)</f>
        <v>0</v>
      </c>
    </row>
    <row r="493" spans="1:7" s="1" customFormat="1" ht="31.5" hidden="1">
      <c r="A493" s="23" t="s">
        <v>26</v>
      </c>
      <c r="B493" s="2" t="s">
        <v>222</v>
      </c>
      <c r="C493" s="2" t="s">
        <v>117</v>
      </c>
      <c r="D493" s="2" t="s">
        <v>61</v>
      </c>
      <c r="E493" s="2" t="s">
        <v>262</v>
      </c>
      <c r="F493" s="2" t="s">
        <v>27</v>
      </c>
      <c r="G493" s="16"/>
    </row>
    <row r="494" spans="1:7" s="1" customFormat="1" ht="17.25" customHeight="1">
      <c r="A494" s="23" t="s">
        <v>267</v>
      </c>
      <c r="B494" s="2" t="s">
        <v>222</v>
      </c>
      <c r="C494" s="2" t="s">
        <v>117</v>
      </c>
      <c r="D494" s="2" t="s">
        <v>61</v>
      </c>
      <c r="E494" s="2" t="s">
        <v>263</v>
      </c>
      <c r="F494" s="2"/>
      <c r="G494" s="16">
        <f>SUM(G495:G496)</f>
        <v>117</v>
      </c>
    </row>
    <row r="495" spans="1:7" s="1" customFormat="1" ht="31.5">
      <c r="A495" s="23" t="s">
        <v>24</v>
      </c>
      <c r="B495" s="2" t="s">
        <v>222</v>
      </c>
      <c r="C495" s="2" t="s">
        <v>117</v>
      </c>
      <c r="D495" s="2" t="s">
        <v>61</v>
      </c>
      <c r="E495" s="2" t="s">
        <v>263</v>
      </c>
      <c r="F495" s="2" t="s">
        <v>215</v>
      </c>
      <c r="G495" s="16">
        <f>46-31+18</f>
        <v>33</v>
      </c>
    </row>
    <row r="496" spans="1:7" s="1" customFormat="1" ht="31.5">
      <c r="A496" s="23" t="s">
        <v>26</v>
      </c>
      <c r="B496" s="2" t="s">
        <v>222</v>
      </c>
      <c r="C496" s="2" t="s">
        <v>117</v>
      </c>
      <c r="D496" s="2" t="s">
        <v>61</v>
      </c>
      <c r="E496" s="2" t="s">
        <v>263</v>
      </c>
      <c r="F496" s="2" t="s">
        <v>27</v>
      </c>
      <c r="G496" s="16">
        <f>44+46-6</f>
        <v>84</v>
      </c>
    </row>
    <row r="497" spans="1:7" s="1" customFormat="1" ht="31.5">
      <c r="A497" s="23" t="s">
        <v>268</v>
      </c>
      <c r="B497" s="2" t="s">
        <v>222</v>
      </c>
      <c r="C497" s="2" t="s">
        <v>117</v>
      </c>
      <c r="D497" s="2" t="s">
        <v>61</v>
      </c>
      <c r="E497" s="2" t="s">
        <v>264</v>
      </c>
      <c r="F497" s="2"/>
      <c r="G497" s="16">
        <f>SUM(G498)</f>
        <v>57</v>
      </c>
    </row>
    <row r="498" spans="1:7" s="1" customFormat="1" ht="31.5">
      <c r="A498" s="23" t="s">
        <v>26</v>
      </c>
      <c r="B498" s="2" t="s">
        <v>222</v>
      </c>
      <c r="C498" s="2" t="s">
        <v>117</v>
      </c>
      <c r="D498" s="2" t="s">
        <v>61</v>
      </c>
      <c r="E498" s="2" t="s">
        <v>264</v>
      </c>
      <c r="F498" s="2" t="s">
        <v>27</v>
      </c>
      <c r="G498" s="16">
        <f>70-13</f>
        <v>57</v>
      </c>
    </row>
    <row r="499" spans="1:7" s="1" customFormat="1" ht="31.5">
      <c r="A499" s="23" t="s">
        <v>269</v>
      </c>
      <c r="B499" s="2" t="s">
        <v>222</v>
      </c>
      <c r="C499" s="2" t="s">
        <v>117</v>
      </c>
      <c r="D499" s="2" t="s">
        <v>61</v>
      </c>
      <c r="E499" s="2" t="s">
        <v>265</v>
      </c>
      <c r="F499" s="2"/>
      <c r="G499" s="16">
        <f>SUM(G500)</f>
        <v>90</v>
      </c>
    </row>
    <row r="500" spans="1:7" s="1" customFormat="1" ht="31.5">
      <c r="A500" s="23" t="s">
        <v>26</v>
      </c>
      <c r="B500" s="2" t="s">
        <v>222</v>
      </c>
      <c r="C500" s="2" t="s">
        <v>117</v>
      </c>
      <c r="D500" s="2" t="s">
        <v>61</v>
      </c>
      <c r="E500" s="2" t="s">
        <v>265</v>
      </c>
      <c r="F500" s="2" t="s">
        <v>27</v>
      </c>
      <c r="G500" s="16">
        <v>90</v>
      </c>
    </row>
    <row r="501" spans="1:7" s="1" customFormat="1" ht="31.5">
      <c r="A501" s="23" t="s">
        <v>270</v>
      </c>
      <c r="B501" s="2" t="s">
        <v>222</v>
      </c>
      <c r="C501" s="2" t="s">
        <v>117</v>
      </c>
      <c r="D501" s="2" t="s">
        <v>61</v>
      </c>
      <c r="E501" s="2" t="s">
        <v>266</v>
      </c>
      <c r="F501" s="2"/>
      <c r="G501" s="16">
        <f>SUM(G502)</f>
        <v>39.95</v>
      </c>
    </row>
    <row r="502" spans="1:7" s="1" customFormat="1" ht="31.5">
      <c r="A502" s="23" t="s">
        <v>26</v>
      </c>
      <c r="B502" s="2" t="s">
        <v>222</v>
      </c>
      <c r="C502" s="2" t="s">
        <v>117</v>
      </c>
      <c r="D502" s="2" t="s">
        <v>61</v>
      </c>
      <c r="E502" s="2" t="s">
        <v>266</v>
      </c>
      <c r="F502" s="2" t="s">
        <v>27</v>
      </c>
      <c r="G502" s="16">
        <f>80-12-28.05</f>
        <v>39.95</v>
      </c>
    </row>
    <row r="503" spans="1:7" s="1" customFormat="1" ht="31.5">
      <c r="A503" s="23" t="s">
        <v>443</v>
      </c>
      <c r="B503" s="2" t="s">
        <v>222</v>
      </c>
      <c r="C503" s="2" t="s">
        <v>117</v>
      </c>
      <c r="D503" s="2" t="s">
        <v>61</v>
      </c>
      <c r="E503" s="2" t="s">
        <v>444</v>
      </c>
      <c r="F503" s="2"/>
      <c r="G503" s="16">
        <f>SUM(G504)</f>
        <v>301.6</v>
      </c>
    </row>
    <row r="504" spans="1:7" s="1" customFormat="1" ht="31.5">
      <c r="A504" s="23" t="s">
        <v>26</v>
      </c>
      <c r="B504" s="2" t="s">
        <v>222</v>
      </c>
      <c r="C504" s="2" t="s">
        <v>117</v>
      </c>
      <c r="D504" s="2" t="s">
        <v>61</v>
      </c>
      <c r="E504" s="2" t="s">
        <v>444</v>
      </c>
      <c r="F504" s="2" t="s">
        <v>27</v>
      </c>
      <c r="G504" s="16">
        <f>1209-907.4</f>
        <v>301.6</v>
      </c>
    </row>
    <row r="505" spans="1:7" s="1" customFormat="1" ht="17.25" customHeight="1">
      <c r="A505" s="23" t="s">
        <v>160</v>
      </c>
      <c r="B505" s="2" t="s">
        <v>222</v>
      </c>
      <c r="C505" s="2" t="s">
        <v>117</v>
      </c>
      <c r="D505" s="2" t="s">
        <v>117</v>
      </c>
      <c r="E505" s="2"/>
      <c r="F505" s="2"/>
      <c r="G505" s="16">
        <f>SUM(G506)</f>
        <v>1719.2</v>
      </c>
    </row>
    <row r="506" spans="1:7" s="1" customFormat="1" ht="31.5">
      <c r="A506" s="23" t="s">
        <v>271</v>
      </c>
      <c r="B506" s="2" t="s">
        <v>222</v>
      </c>
      <c r="C506" s="2" t="s">
        <v>117</v>
      </c>
      <c r="D506" s="2" t="s">
        <v>117</v>
      </c>
      <c r="E506" s="2" t="s">
        <v>272</v>
      </c>
      <c r="F506" s="2"/>
      <c r="G506" s="16">
        <f>SUM(G507,G511)</f>
        <v>1719.2</v>
      </c>
    </row>
    <row r="507" spans="1:7" s="1" customFormat="1" ht="142.5" customHeight="1">
      <c r="A507" s="35" t="s">
        <v>448</v>
      </c>
      <c r="B507" s="2" t="s">
        <v>222</v>
      </c>
      <c r="C507" s="2" t="s">
        <v>117</v>
      </c>
      <c r="D507" s="2" t="s">
        <v>117</v>
      </c>
      <c r="E507" s="2" t="s">
        <v>273</v>
      </c>
      <c r="F507" s="2"/>
      <c r="G507" s="16">
        <f>SUM(G508:G510)</f>
        <v>505.7</v>
      </c>
    </row>
    <row r="508" spans="1:7" s="1" customFormat="1" ht="15.75">
      <c r="A508" s="35" t="s">
        <v>22</v>
      </c>
      <c r="B508" s="2" t="s">
        <v>222</v>
      </c>
      <c r="C508" s="2" t="s">
        <v>117</v>
      </c>
      <c r="D508" s="2" t="s">
        <v>117</v>
      </c>
      <c r="E508" s="2" t="s">
        <v>273</v>
      </c>
      <c r="F508" s="2" t="s">
        <v>115</v>
      </c>
      <c r="G508" s="16">
        <v>1.4</v>
      </c>
    </row>
    <row r="509" spans="1:7" s="1" customFormat="1" ht="31.5">
      <c r="A509" s="23" t="s">
        <v>26</v>
      </c>
      <c r="B509" s="2" t="s">
        <v>222</v>
      </c>
      <c r="C509" s="2" t="s">
        <v>117</v>
      </c>
      <c r="D509" s="2" t="s">
        <v>117</v>
      </c>
      <c r="E509" s="2" t="s">
        <v>273</v>
      </c>
      <c r="F509" s="2" t="s">
        <v>27</v>
      </c>
      <c r="G509" s="16">
        <f>2.7+0.89364+0.01704</f>
        <v>3.6106800000000003</v>
      </c>
    </row>
    <row r="510" spans="1:7" s="1" customFormat="1" ht="17.25" customHeight="1">
      <c r="A510" s="23" t="s">
        <v>52</v>
      </c>
      <c r="B510" s="2" t="s">
        <v>222</v>
      </c>
      <c r="C510" s="2" t="s">
        <v>117</v>
      </c>
      <c r="D510" s="2" t="s">
        <v>117</v>
      </c>
      <c r="E510" s="2" t="s">
        <v>273</v>
      </c>
      <c r="F510" s="2" t="s">
        <v>53</v>
      </c>
      <c r="G510" s="16">
        <f>139.1+268.9+92.70636-0.01704</f>
        <v>500.68932</v>
      </c>
    </row>
    <row r="511" spans="1:8" s="1" customFormat="1" ht="143.25" customHeight="1">
      <c r="A511" s="35" t="s">
        <v>449</v>
      </c>
      <c r="B511" s="2" t="s">
        <v>222</v>
      </c>
      <c r="C511" s="2" t="s">
        <v>117</v>
      </c>
      <c r="D511" s="2" t="s">
        <v>117</v>
      </c>
      <c r="E511" s="2" t="s">
        <v>274</v>
      </c>
      <c r="F511" s="2"/>
      <c r="G511" s="16">
        <f>SUM(G512:G513)</f>
        <v>1213.5</v>
      </c>
      <c r="H511" s="47"/>
    </row>
    <row r="512" spans="1:7" s="1" customFormat="1" ht="15.75">
      <c r="A512" s="35" t="s">
        <v>22</v>
      </c>
      <c r="B512" s="2" t="s">
        <v>222</v>
      </c>
      <c r="C512" s="2" t="s">
        <v>117</v>
      </c>
      <c r="D512" s="2" t="s">
        <v>117</v>
      </c>
      <c r="E512" s="2" t="s">
        <v>274</v>
      </c>
      <c r="F512" s="2" t="s">
        <v>115</v>
      </c>
      <c r="G512" s="16">
        <v>12</v>
      </c>
    </row>
    <row r="513" spans="1:7" s="1" customFormat="1" ht="31.5">
      <c r="A513" s="23" t="s">
        <v>26</v>
      </c>
      <c r="B513" s="2" t="s">
        <v>222</v>
      </c>
      <c r="C513" s="2" t="s">
        <v>117</v>
      </c>
      <c r="D513" s="2" t="s">
        <v>117</v>
      </c>
      <c r="E513" s="2" t="s">
        <v>274</v>
      </c>
      <c r="F513" s="2" t="s">
        <v>27</v>
      </c>
      <c r="G513" s="16">
        <v>1201.5</v>
      </c>
    </row>
    <row r="514" spans="1:7" s="1" customFormat="1" ht="15.75">
      <c r="A514" s="23" t="s">
        <v>275</v>
      </c>
      <c r="B514" s="2" t="s">
        <v>222</v>
      </c>
      <c r="C514" s="2" t="s">
        <v>117</v>
      </c>
      <c r="D514" s="2" t="s">
        <v>71</v>
      </c>
      <c r="E514" s="2"/>
      <c r="F514" s="2"/>
      <c r="G514" s="16">
        <f>SUM(G515,G518,G527,G531,G535)</f>
        <v>10613.9142</v>
      </c>
    </row>
    <row r="515" spans="1:7" s="1" customFormat="1" ht="63">
      <c r="A515" s="23" t="s">
        <v>18</v>
      </c>
      <c r="B515" s="2" t="s">
        <v>222</v>
      </c>
      <c r="C515" s="2" t="s">
        <v>117</v>
      </c>
      <c r="D515" s="2" t="s">
        <v>71</v>
      </c>
      <c r="E515" s="2" t="s">
        <v>19</v>
      </c>
      <c r="F515" s="2"/>
      <c r="G515" s="16">
        <f>SUM(G516)</f>
        <v>897.7</v>
      </c>
    </row>
    <row r="516" spans="1:7" s="1" customFormat="1" ht="15.75">
      <c r="A516" s="23" t="s">
        <v>20</v>
      </c>
      <c r="B516" s="2" t="s">
        <v>222</v>
      </c>
      <c r="C516" s="2" t="s">
        <v>117</v>
      </c>
      <c r="D516" s="2" t="s">
        <v>71</v>
      </c>
      <c r="E516" s="2" t="s">
        <v>21</v>
      </c>
      <c r="F516" s="2"/>
      <c r="G516" s="16">
        <f>SUM(G517)</f>
        <v>897.7</v>
      </c>
    </row>
    <row r="517" spans="1:7" s="1" customFormat="1" ht="15.75">
      <c r="A517" s="23" t="s">
        <v>22</v>
      </c>
      <c r="B517" s="2" t="s">
        <v>222</v>
      </c>
      <c r="C517" s="2" t="s">
        <v>117</v>
      </c>
      <c r="D517" s="2" t="s">
        <v>71</v>
      </c>
      <c r="E517" s="2" t="s">
        <v>21</v>
      </c>
      <c r="F517" s="2" t="s">
        <v>23</v>
      </c>
      <c r="G517" s="16">
        <v>897.7</v>
      </c>
    </row>
    <row r="518" spans="1:7" s="1" customFormat="1" ht="80.25" customHeight="1">
      <c r="A518" s="23" t="s">
        <v>219</v>
      </c>
      <c r="B518" s="2" t="s">
        <v>222</v>
      </c>
      <c r="C518" s="2" t="s">
        <v>117</v>
      </c>
      <c r="D518" s="2" t="s">
        <v>71</v>
      </c>
      <c r="E518" s="2" t="s">
        <v>220</v>
      </c>
      <c r="F518" s="2"/>
      <c r="G518" s="16">
        <f>SUM(G519)</f>
        <v>1127.6142</v>
      </c>
    </row>
    <row r="519" spans="1:7" s="1" customFormat="1" ht="31.5">
      <c r="A519" s="23" t="s">
        <v>112</v>
      </c>
      <c r="B519" s="2" t="s">
        <v>222</v>
      </c>
      <c r="C519" s="2" t="s">
        <v>117</v>
      </c>
      <c r="D519" s="2" t="s">
        <v>71</v>
      </c>
      <c r="E519" s="2" t="s">
        <v>221</v>
      </c>
      <c r="F519" s="2"/>
      <c r="G519" s="16">
        <f>SUM(G520:G526)</f>
        <v>1127.6142</v>
      </c>
    </row>
    <row r="520" spans="1:7" s="1" customFormat="1" ht="31.5">
      <c r="A520" s="23" t="s">
        <v>24</v>
      </c>
      <c r="B520" s="2" t="s">
        <v>222</v>
      </c>
      <c r="C520" s="2" t="s">
        <v>117</v>
      </c>
      <c r="D520" s="2" t="s">
        <v>71</v>
      </c>
      <c r="E520" s="2" t="s">
        <v>221</v>
      </c>
      <c r="F520" s="2" t="s">
        <v>215</v>
      </c>
      <c r="G520" s="16">
        <v>8.9</v>
      </c>
    </row>
    <row r="521" spans="1:7" s="1" customFormat="1" ht="31.5">
      <c r="A521" s="23" t="s">
        <v>35</v>
      </c>
      <c r="B521" s="2" t="s">
        <v>222</v>
      </c>
      <c r="C521" s="2" t="s">
        <v>117</v>
      </c>
      <c r="D521" s="2" t="s">
        <v>71</v>
      </c>
      <c r="E521" s="2" t="s">
        <v>221</v>
      </c>
      <c r="F521" s="2" t="s">
        <v>36</v>
      </c>
      <c r="G521" s="16">
        <f>170+17</f>
        <v>187</v>
      </c>
    </row>
    <row r="522" spans="1:7" s="1" customFormat="1" ht="31.5">
      <c r="A522" s="23" t="s">
        <v>26</v>
      </c>
      <c r="B522" s="2" t="s">
        <v>222</v>
      </c>
      <c r="C522" s="2" t="s">
        <v>117</v>
      </c>
      <c r="D522" s="2" t="s">
        <v>71</v>
      </c>
      <c r="E522" s="2" t="s">
        <v>221</v>
      </c>
      <c r="F522" s="2" t="s">
        <v>27</v>
      </c>
      <c r="G522" s="16">
        <f>769.6-17+60+11.8142</f>
        <v>824.4142</v>
      </c>
    </row>
    <row r="523" spans="1:7" s="1" customFormat="1" ht="47.25" hidden="1">
      <c r="A523" s="23" t="s">
        <v>178</v>
      </c>
      <c r="B523" s="2" t="s">
        <v>222</v>
      </c>
      <c r="C523" s="2" t="s">
        <v>117</v>
      </c>
      <c r="D523" s="2" t="s">
        <v>71</v>
      </c>
      <c r="E523" s="2" t="s">
        <v>221</v>
      </c>
      <c r="F523" s="2" t="s">
        <v>179</v>
      </c>
      <c r="G523" s="16">
        <f>26-26</f>
        <v>0</v>
      </c>
    </row>
    <row r="524" spans="1:7" s="1" customFormat="1" ht="111" customHeight="1" hidden="1">
      <c r="A524" s="35" t="s">
        <v>228</v>
      </c>
      <c r="B524" s="2" t="s">
        <v>222</v>
      </c>
      <c r="C524" s="2" t="s">
        <v>117</v>
      </c>
      <c r="D524" s="2" t="s">
        <v>71</v>
      </c>
      <c r="E524" s="2" t="s">
        <v>221</v>
      </c>
      <c r="F524" s="2" t="s">
        <v>38</v>
      </c>
      <c r="G524" s="16"/>
    </row>
    <row r="525" spans="1:7" s="1" customFormat="1" ht="31.5">
      <c r="A525" s="35" t="s">
        <v>96</v>
      </c>
      <c r="B525" s="2" t="s">
        <v>222</v>
      </c>
      <c r="C525" s="2" t="s">
        <v>117</v>
      </c>
      <c r="D525" s="2" t="s">
        <v>71</v>
      </c>
      <c r="E525" s="2" t="s">
        <v>221</v>
      </c>
      <c r="F525" s="2" t="s">
        <v>40</v>
      </c>
      <c r="G525" s="16">
        <f>32.3</f>
        <v>32.3</v>
      </c>
    </row>
    <row r="526" spans="1:7" s="1" customFormat="1" ht="31.5">
      <c r="A526" s="35" t="s">
        <v>54</v>
      </c>
      <c r="B526" s="2" t="s">
        <v>222</v>
      </c>
      <c r="C526" s="2" t="s">
        <v>117</v>
      </c>
      <c r="D526" s="2" t="s">
        <v>71</v>
      </c>
      <c r="E526" s="2" t="s">
        <v>221</v>
      </c>
      <c r="F526" s="2" t="s">
        <v>42</v>
      </c>
      <c r="G526" s="16">
        <f>50+25</f>
        <v>75</v>
      </c>
    </row>
    <row r="527" spans="1:7" s="1" customFormat="1" ht="63">
      <c r="A527" s="35" t="s">
        <v>89</v>
      </c>
      <c r="B527" s="2" t="s">
        <v>222</v>
      </c>
      <c r="C527" s="2" t="s">
        <v>117</v>
      </c>
      <c r="D527" s="2" t="s">
        <v>71</v>
      </c>
      <c r="E527" s="2" t="s">
        <v>90</v>
      </c>
      <c r="F527" s="2"/>
      <c r="G527" s="16">
        <f>SUM(G528)</f>
        <v>4767.599999999999</v>
      </c>
    </row>
    <row r="528" spans="1:7" s="1" customFormat="1" ht="144" customHeight="1">
      <c r="A528" s="35" t="s">
        <v>438</v>
      </c>
      <c r="B528" s="2" t="s">
        <v>222</v>
      </c>
      <c r="C528" s="2" t="s">
        <v>117</v>
      </c>
      <c r="D528" s="2" t="s">
        <v>71</v>
      </c>
      <c r="E528" s="2" t="s">
        <v>91</v>
      </c>
      <c r="F528" s="2"/>
      <c r="G528" s="16">
        <f>SUM(G529:G530)</f>
        <v>4767.599999999999</v>
      </c>
    </row>
    <row r="529" spans="1:7" s="1" customFormat="1" ht="15.75">
      <c r="A529" s="23" t="s">
        <v>22</v>
      </c>
      <c r="B529" s="2" t="s">
        <v>222</v>
      </c>
      <c r="C529" s="2" t="s">
        <v>117</v>
      </c>
      <c r="D529" s="2" t="s">
        <v>71</v>
      </c>
      <c r="E529" s="2" t="s">
        <v>91</v>
      </c>
      <c r="F529" s="2" t="s">
        <v>115</v>
      </c>
      <c r="G529" s="16">
        <f>4049.7+314+180</f>
        <v>4543.7</v>
      </c>
    </row>
    <row r="530" spans="1:7" s="1" customFormat="1" ht="31.5">
      <c r="A530" s="23" t="s">
        <v>26</v>
      </c>
      <c r="B530" s="2" t="s">
        <v>222</v>
      </c>
      <c r="C530" s="2" t="s">
        <v>117</v>
      </c>
      <c r="D530" s="2" t="s">
        <v>71</v>
      </c>
      <c r="E530" s="2" t="s">
        <v>91</v>
      </c>
      <c r="F530" s="2" t="s">
        <v>27</v>
      </c>
      <c r="G530" s="16">
        <f>335.9-112</f>
        <v>223.89999999999998</v>
      </c>
    </row>
    <row r="531" spans="1:7" s="1" customFormat="1" ht="15.75">
      <c r="A531" s="23" t="s">
        <v>72</v>
      </c>
      <c r="B531" s="2" t="s">
        <v>222</v>
      </c>
      <c r="C531" s="2" t="s">
        <v>117</v>
      </c>
      <c r="D531" s="2" t="s">
        <v>71</v>
      </c>
      <c r="E531" s="2" t="s">
        <v>73</v>
      </c>
      <c r="F531" s="2"/>
      <c r="G531" s="16">
        <f>SUM(G532)</f>
        <v>3800</v>
      </c>
    </row>
    <row r="532" spans="1:7" s="1" customFormat="1" ht="47.25">
      <c r="A532" s="23" t="s">
        <v>409</v>
      </c>
      <c r="B532" s="2" t="s">
        <v>222</v>
      </c>
      <c r="C532" s="2" t="s">
        <v>117</v>
      </c>
      <c r="D532" s="2" t="s">
        <v>71</v>
      </c>
      <c r="E532" s="2" t="s">
        <v>407</v>
      </c>
      <c r="F532" s="2"/>
      <c r="G532" s="16">
        <f>SUM(G533)</f>
        <v>3800</v>
      </c>
    </row>
    <row r="533" spans="1:7" s="1" customFormat="1" ht="31.5">
      <c r="A533" s="23" t="s">
        <v>410</v>
      </c>
      <c r="B533" s="2" t="s">
        <v>222</v>
      </c>
      <c r="C533" s="2" t="s">
        <v>117</v>
      </c>
      <c r="D533" s="2" t="s">
        <v>71</v>
      </c>
      <c r="E533" s="2" t="s">
        <v>408</v>
      </c>
      <c r="F533" s="2"/>
      <c r="G533" s="16">
        <f>SUM(G534)</f>
        <v>3800</v>
      </c>
    </row>
    <row r="534" spans="1:7" s="1" customFormat="1" ht="31.5">
      <c r="A534" s="23" t="s">
        <v>26</v>
      </c>
      <c r="B534" s="2" t="s">
        <v>222</v>
      </c>
      <c r="C534" s="2" t="s">
        <v>117</v>
      </c>
      <c r="D534" s="2" t="s">
        <v>71</v>
      </c>
      <c r="E534" s="2" t="s">
        <v>408</v>
      </c>
      <c r="F534" s="2" t="s">
        <v>27</v>
      </c>
      <c r="G534" s="16">
        <v>3800</v>
      </c>
    </row>
    <row r="535" spans="1:7" s="1" customFormat="1" ht="16.5" customHeight="1">
      <c r="A535" s="23" t="s">
        <v>58</v>
      </c>
      <c r="B535" s="2" t="s">
        <v>222</v>
      </c>
      <c r="C535" s="2" t="s">
        <v>117</v>
      </c>
      <c r="D535" s="2" t="s">
        <v>71</v>
      </c>
      <c r="E535" s="2" t="s">
        <v>59</v>
      </c>
      <c r="F535" s="2"/>
      <c r="G535" s="16">
        <f>SUM(G536)</f>
        <v>21</v>
      </c>
    </row>
    <row r="536" spans="1:7" s="1" customFormat="1" ht="31.5">
      <c r="A536" s="23" t="s">
        <v>135</v>
      </c>
      <c r="B536" s="2" t="s">
        <v>222</v>
      </c>
      <c r="C536" s="2" t="s">
        <v>117</v>
      </c>
      <c r="D536" s="2" t="s">
        <v>71</v>
      </c>
      <c r="E536" s="2" t="s">
        <v>133</v>
      </c>
      <c r="F536" s="2"/>
      <c r="G536" s="16">
        <f>SUM(G537)</f>
        <v>21</v>
      </c>
    </row>
    <row r="537" spans="1:7" s="1" customFormat="1" ht="63">
      <c r="A537" s="23" t="s">
        <v>421</v>
      </c>
      <c r="B537" s="2" t="s">
        <v>222</v>
      </c>
      <c r="C537" s="2" t="s">
        <v>117</v>
      </c>
      <c r="D537" s="2" t="s">
        <v>71</v>
      </c>
      <c r="E537" s="2" t="s">
        <v>420</v>
      </c>
      <c r="F537" s="2"/>
      <c r="G537" s="16">
        <f>SUM(G538)</f>
        <v>21</v>
      </c>
    </row>
    <row r="538" spans="1:7" s="1" customFormat="1" ht="31.5">
      <c r="A538" s="23" t="s">
        <v>26</v>
      </c>
      <c r="B538" s="2" t="s">
        <v>222</v>
      </c>
      <c r="C538" s="2" t="s">
        <v>117</v>
      </c>
      <c r="D538" s="2" t="s">
        <v>71</v>
      </c>
      <c r="E538" s="2" t="s">
        <v>420</v>
      </c>
      <c r="F538" s="2" t="s">
        <v>27</v>
      </c>
      <c r="G538" s="16">
        <v>21</v>
      </c>
    </row>
    <row r="539" spans="1:7" s="1" customFormat="1" ht="15.75">
      <c r="A539" s="23" t="s">
        <v>162</v>
      </c>
      <c r="B539" s="2" t="s">
        <v>222</v>
      </c>
      <c r="C539" s="2" t="s">
        <v>163</v>
      </c>
      <c r="D539" s="2"/>
      <c r="E539" s="2"/>
      <c r="F539" s="2"/>
      <c r="G539" s="16">
        <f>SUM(G540,G549)</f>
        <v>9875.6</v>
      </c>
    </row>
    <row r="540" spans="1:7" s="1" customFormat="1" ht="15.75">
      <c r="A540" s="23" t="s">
        <v>171</v>
      </c>
      <c r="B540" s="2" t="s">
        <v>222</v>
      </c>
      <c r="C540" s="2" t="s">
        <v>163</v>
      </c>
      <c r="D540" s="2" t="s">
        <v>17</v>
      </c>
      <c r="E540" s="2"/>
      <c r="F540" s="2"/>
      <c r="G540" s="16">
        <f>SUM(G541)</f>
        <v>437.70000000000005</v>
      </c>
    </row>
    <row r="541" spans="1:7" s="1" customFormat="1" ht="15.75">
      <c r="A541" s="23" t="s">
        <v>223</v>
      </c>
      <c r="B541" s="2" t="s">
        <v>222</v>
      </c>
      <c r="C541" s="2" t="s">
        <v>163</v>
      </c>
      <c r="D541" s="2" t="s">
        <v>17</v>
      </c>
      <c r="E541" s="2" t="s">
        <v>224</v>
      </c>
      <c r="F541" s="2"/>
      <c r="G541" s="16">
        <f>SUM(G542,G544)</f>
        <v>437.70000000000005</v>
      </c>
    </row>
    <row r="542" spans="1:7" s="1" customFormat="1" ht="63">
      <c r="A542" s="23" t="s">
        <v>276</v>
      </c>
      <c r="B542" s="2" t="s">
        <v>222</v>
      </c>
      <c r="C542" s="2" t="s">
        <v>163</v>
      </c>
      <c r="D542" s="2" t="s">
        <v>17</v>
      </c>
      <c r="E542" s="2" t="s">
        <v>277</v>
      </c>
      <c r="F542" s="2"/>
      <c r="G542" s="16">
        <f>SUM(G543)</f>
        <v>100</v>
      </c>
    </row>
    <row r="543" spans="1:7" s="1" customFormat="1" ht="47.25">
      <c r="A543" s="23" t="s">
        <v>178</v>
      </c>
      <c r="B543" s="2" t="s">
        <v>222</v>
      </c>
      <c r="C543" s="2" t="s">
        <v>163</v>
      </c>
      <c r="D543" s="2" t="s">
        <v>17</v>
      </c>
      <c r="E543" s="2" t="s">
        <v>277</v>
      </c>
      <c r="F543" s="2" t="s">
        <v>179</v>
      </c>
      <c r="G543" s="16">
        <f>79+21</f>
        <v>100</v>
      </c>
    </row>
    <row r="544" spans="1:7" s="1" customFormat="1" ht="64.5" customHeight="1">
      <c r="A544" s="23" t="s">
        <v>226</v>
      </c>
      <c r="B544" s="2" t="s">
        <v>222</v>
      </c>
      <c r="C544" s="2" t="s">
        <v>163</v>
      </c>
      <c r="D544" s="2" t="s">
        <v>17</v>
      </c>
      <c r="E544" s="2" t="s">
        <v>225</v>
      </c>
      <c r="F544" s="2"/>
      <c r="G544" s="16">
        <f>SUM(G545:G548)</f>
        <v>337.70000000000005</v>
      </c>
    </row>
    <row r="545" spans="1:7" s="1" customFormat="1" ht="15.75">
      <c r="A545" s="23" t="s">
        <v>22</v>
      </c>
      <c r="B545" s="2" t="s">
        <v>222</v>
      </c>
      <c r="C545" s="2" t="s">
        <v>163</v>
      </c>
      <c r="D545" s="2" t="s">
        <v>17</v>
      </c>
      <c r="E545" s="2" t="s">
        <v>225</v>
      </c>
      <c r="F545" s="2" t="s">
        <v>115</v>
      </c>
      <c r="G545" s="16">
        <v>0.55</v>
      </c>
    </row>
    <row r="546" spans="1:7" s="1" customFormat="1" ht="31.5">
      <c r="A546" s="23" t="s">
        <v>26</v>
      </c>
      <c r="B546" s="2" t="s">
        <v>222</v>
      </c>
      <c r="C546" s="2" t="s">
        <v>163</v>
      </c>
      <c r="D546" s="2" t="s">
        <v>17</v>
      </c>
      <c r="E546" s="2" t="s">
        <v>225</v>
      </c>
      <c r="F546" s="2" t="s">
        <v>27</v>
      </c>
      <c r="G546" s="16">
        <f>3.1-0.55-1.4</f>
        <v>1.15</v>
      </c>
    </row>
    <row r="547" spans="1:7" s="1" customFormat="1" ht="48" customHeight="1">
      <c r="A547" s="23" t="s">
        <v>178</v>
      </c>
      <c r="B547" s="2" t="s">
        <v>222</v>
      </c>
      <c r="C547" s="2" t="s">
        <v>163</v>
      </c>
      <c r="D547" s="2" t="s">
        <v>17</v>
      </c>
      <c r="E547" s="2" t="s">
        <v>225</v>
      </c>
      <c r="F547" s="2" t="s">
        <v>179</v>
      </c>
      <c r="G547" s="16">
        <f>426.8+187.4-3.5-274.7-16</f>
        <v>320.00000000000006</v>
      </c>
    </row>
    <row r="548" spans="1:7" s="1" customFormat="1" ht="48" customHeight="1">
      <c r="A548" s="23" t="s">
        <v>199</v>
      </c>
      <c r="B548" s="2" t="s">
        <v>222</v>
      </c>
      <c r="C548" s="2" t="s">
        <v>163</v>
      </c>
      <c r="D548" s="2" t="s">
        <v>17</v>
      </c>
      <c r="E548" s="2" t="s">
        <v>225</v>
      </c>
      <c r="F548" s="2" t="s">
        <v>200</v>
      </c>
      <c r="G548" s="16">
        <v>16</v>
      </c>
    </row>
    <row r="549" spans="1:7" s="41" customFormat="1" ht="15.75">
      <c r="A549" s="23" t="s">
        <v>286</v>
      </c>
      <c r="B549" s="2" t="s">
        <v>222</v>
      </c>
      <c r="C549" s="2" t="s">
        <v>163</v>
      </c>
      <c r="D549" s="2" t="s">
        <v>31</v>
      </c>
      <c r="E549" s="2"/>
      <c r="F549" s="2"/>
      <c r="G549" s="16">
        <f>SUM(G550)</f>
        <v>9437.9</v>
      </c>
    </row>
    <row r="550" spans="1:7" s="1" customFormat="1" ht="96" customHeight="1">
      <c r="A550" s="35" t="s">
        <v>116</v>
      </c>
      <c r="B550" s="2" t="s">
        <v>222</v>
      </c>
      <c r="C550" s="2" t="s">
        <v>163</v>
      </c>
      <c r="D550" s="2" t="s">
        <v>31</v>
      </c>
      <c r="E550" s="2" t="s">
        <v>55</v>
      </c>
      <c r="F550" s="2"/>
      <c r="G550" s="16">
        <f>SUM(G551,G554,G559,G562)</f>
        <v>9437.9</v>
      </c>
    </row>
    <row r="551" spans="1:7" s="1" customFormat="1" ht="126">
      <c r="A551" s="35" t="s">
        <v>278</v>
      </c>
      <c r="B551" s="2" t="s">
        <v>222</v>
      </c>
      <c r="C551" s="2" t="s">
        <v>163</v>
      </c>
      <c r="D551" s="2" t="s">
        <v>31</v>
      </c>
      <c r="E551" s="2" t="s">
        <v>279</v>
      </c>
      <c r="F551" s="2"/>
      <c r="G551" s="16">
        <f>SUM(G552:G553)</f>
        <v>269.90000000000003</v>
      </c>
    </row>
    <row r="552" spans="1:7" s="1" customFormat="1" ht="31.5">
      <c r="A552" s="35" t="s">
        <v>26</v>
      </c>
      <c r="B552" s="2" t="s">
        <v>222</v>
      </c>
      <c r="C552" s="2" t="s">
        <v>163</v>
      </c>
      <c r="D552" s="2" t="s">
        <v>31</v>
      </c>
      <c r="E552" s="2" t="s">
        <v>279</v>
      </c>
      <c r="F552" s="2" t="s">
        <v>27</v>
      </c>
      <c r="G552" s="16">
        <v>1.3</v>
      </c>
    </row>
    <row r="553" spans="1:7" s="1" customFormat="1" ht="17.25" customHeight="1">
      <c r="A553" s="23" t="s">
        <v>52</v>
      </c>
      <c r="B553" s="2" t="s">
        <v>222</v>
      </c>
      <c r="C553" s="2" t="s">
        <v>163</v>
      </c>
      <c r="D553" s="2" t="s">
        <v>31</v>
      </c>
      <c r="E553" s="2" t="s">
        <v>279</v>
      </c>
      <c r="F553" s="2" t="s">
        <v>53</v>
      </c>
      <c r="G553" s="16">
        <v>268.6</v>
      </c>
    </row>
    <row r="554" spans="1:7" s="1" customFormat="1" ht="47.25">
      <c r="A554" s="23" t="s">
        <v>285</v>
      </c>
      <c r="B554" s="2" t="s">
        <v>222</v>
      </c>
      <c r="C554" s="2" t="s">
        <v>163</v>
      </c>
      <c r="D554" s="2" t="s">
        <v>31</v>
      </c>
      <c r="E554" s="2" t="s">
        <v>280</v>
      </c>
      <c r="F554" s="2"/>
      <c r="G554" s="16">
        <f>SUM(G555:G558)</f>
        <v>7650.9</v>
      </c>
    </row>
    <row r="555" spans="1:7" s="1" customFormat="1" ht="15.75">
      <c r="A555" s="23" t="s">
        <v>22</v>
      </c>
      <c r="B555" s="2" t="s">
        <v>222</v>
      </c>
      <c r="C555" s="2" t="s">
        <v>163</v>
      </c>
      <c r="D555" s="2" t="s">
        <v>31</v>
      </c>
      <c r="E555" s="2" t="s">
        <v>280</v>
      </c>
      <c r="F555" s="2" t="s">
        <v>23</v>
      </c>
      <c r="G555" s="16">
        <f>13.02-7.02</f>
        <v>6</v>
      </c>
    </row>
    <row r="556" spans="1:7" s="1" customFormat="1" ht="31.5" hidden="1">
      <c r="A556" s="23" t="s">
        <v>35</v>
      </c>
      <c r="B556" s="2" t="s">
        <v>222</v>
      </c>
      <c r="C556" s="2" t="s">
        <v>163</v>
      </c>
      <c r="D556" s="2" t="s">
        <v>31</v>
      </c>
      <c r="E556" s="2" t="s">
        <v>280</v>
      </c>
      <c r="F556" s="2" t="s">
        <v>36</v>
      </c>
      <c r="G556" s="16">
        <f>3-3</f>
        <v>0</v>
      </c>
    </row>
    <row r="557" spans="1:7" s="1" customFormat="1" ht="31.5">
      <c r="A557" s="23" t="s">
        <v>26</v>
      </c>
      <c r="B557" s="2" t="s">
        <v>222</v>
      </c>
      <c r="C557" s="2" t="s">
        <v>163</v>
      </c>
      <c r="D557" s="2" t="s">
        <v>31</v>
      </c>
      <c r="E557" s="2" t="s">
        <v>280</v>
      </c>
      <c r="F557" s="2" t="s">
        <v>27</v>
      </c>
      <c r="G557" s="16">
        <f>29.1+3</f>
        <v>32.1</v>
      </c>
    </row>
    <row r="558" spans="1:7" s="1" customFormat="1" ht="47.25">
      <c r="A558" s="23" t="s">
        <v>178</v>
      </c>
      <c r="B558" s="2" t="s">
        <v>222</v>
      </c>
      <c r="C558" s="2" t="s">
        <v>163</v>
      </c>
      <c r="D558" s="2" t="s">
        <v>31</v>
      </c>
      <c r="E558" s="2" t="s">
        <v>280</v>
      </c>
      <c r="F558" s="2" t="s">
        <v>179</v>
      </c>
      <c r="G558" s="16">
        <f>2540.1+5072.7</f>
        <v>7612.799999999999</v>
      </c>
    </row>
    <row r="559" spans="1:7" s="1" customFormat="1" ht="31.5">
      <c r="A559" s="23" t="s">
        <v>281</v>
      </c>
      <c r="B559" s="2" t="s">
        <v>222</v>
      </c>
      <c r="C559" s="2" t="s">
        <v>163</v>
      </c>
      <c r="D559" s="2" t="s">
        <v>31</v>
      </c>
      <c r="E559" s="2" t="s">
        <v>282</v>
      </c>
      <c r="F559" s="2"/>
      <c r="G559" s="16">
        <f>SUM(G560:G561)</f>
        <v>499.6</v>
      </c>
    </row>
    <row r="560" spans="1:7" s="1" customFormat="1" ht="15.75">
      <c r="A560" s="23" t="s">
        <v>22</v>
      </c>
      <c r="B560" s="2" t="s">
        <v>222</v>
      </c>
      <c r="C560" s="2" t="s">
        <v>163</v>
      </c>
      <c r="D560" s="2" t="s">
        <v>31</v>
      </c>
      <c r="E560" s="2" t="s">
        <v>282</v>
      </c>
      <c r="F560" s="2" t="s">
        <v>23</v>
      </c>
      <c r="G560" s="16">
        <v>469.6</v>
      </c>
    </row>
    <row r="561" spans="1:7" ht="31.5">
      <c r="A561" s="23" t="s">
        <v>26</v>
      </c>
      <c r="B561" s="2" t="s">
        <v>222</v>
      </c>
      <c r="C561" s="2" t="s">
        <v>163</v>
      </c>
      <c r="D561" s="2" t="s">
        <v>31</v>
      </c>
      <c r="E561" s="2" t="s">
        <v>282</v>
      </c>
      <c r="F561" s="2" t="s">
        <v>27</v>
      </c>
      <c r="G561" s="16">
        <v>30</v>
      </c>
    </row>
    <row r="562" spans="1:7" ht="94.5">
      <c r="A562" s="23" t="s">
        <v>283</v>
      </c>
      <c r="B562" s="2" t="s">
        <v>222</v>
      </c>
      <c r="C562" s="2" t="s">
        <v>163</v>
      </c>
      <c r="D562" s="2" t="s">
        <v>31</v>
      </c>
      <c r="E562" s="2" t="s">
        <v>284</v>
      </c>
      <c r="F562" s="2"/>
      <c r="G562" s="16">
        <f>SUM(G563:G566)</f>
        <v>1017.5</v>
      </c>
    </row>
    <row r="563" spans="1:7" s="1" customFormat="1" ht="15.75">
      <c r="A563" s="23" t="s">
        <v>22</v>
      </c>
      <c r="B563" s="2" t="s">
        <v>222</v>
      </c>
      <c r="C563" s="2" t="s">
        <v>163</v>
      </c>
      <c r="D563" s="2" t="s">
        <v>31</v>
      </c>
      <c r="E563" s="2" t="s">
        <v>284</v>
      </c>
      <c r="F563" s="2" t="s">
        <v>23</v>
      </c>
      <c r="G563" s="18">
        <v>3.682</v>
      </c>
    </row>
    <row r="564" spans="1:7" ht="31.5">
      <c r="A564" s="34" t="s">
        <v>26</v>
      </c>
      <c r="B564" s="7" t="s">
        <v>222</v>
      </c>
      <c r="C564" s="7" t="s">
        <v>163</v>
      </c>
      <c r="D564" s="7" t="s">
        <v>31</v>
      </c>
      <c r="E564" s="2" t="s">
        <v>284</v>
      </c>
      <c r="F564" s="7" t="s">
        <v>27</v>
      </c>
      <c r="G564" s="18">
        <f>4.2+0.9-3.682</f>
        <v>1.4180000000000006</v>
      </c>
    </row>
    <row r="565" spans="1:7" s="1" customFormat="1" ht="47.25">
      <c r="A565" s="34" t="s">
        <v>178</v>
      </c>
      <c r="B565" s="7" t="s">
        <v>222</v>
      </c>
      <c r="C565" s="7" t="s">
        <v>163</v>
      </c>
      <c r="D565" s="7" t="s">
        <v>31</v>
      </c>
      <c r="E565" s="2" t="s">
        <v>284</v>
      </c>
      <c r="F565" s="7" t="s">
        <v>179</v>
      </c>
      <c r="G565" s="18">
        <f>603.8+118.6</f>
        <v>722.4</v>
      </c>
    </row>
    <row r="566" spans="1:7" ht="48" customHeight="1">
      <c r="A566" s="34" t="s">
        <v>199</v>
      </c>
      <c r="B566" s="7" t="s">
        <v>222</v>
      </c>
      <c r="C566" s="7" t="s">
        <v>163</v>
      </c>
      <c r="D566" s="7" t="s">
        <v>31</v>
      </c>
      <c r="E566" s="2" t="s">
        <v>284</v>
      </c>
      <c r="F566" s="7" t="s">
        <v>200</v>
      </c>
      <c r="G566" s="18">
        <f>230+60</f>
        <v>290</v>
      </c>
    </row>
    <row r="567" spans="1:8" ht="48.75" customHeight="1">
      <c r="A567" s="22" t="s">
        <v>102</v>
      </c>
      <c r="B567" s="6" t="s">
        <v>103</v>
      </c>
      <c r="C567" s="6"/>
      <c r="D567" s="6"/>
      <c r="E567" s="6"/>
      <c r="F567" s="6"/>
      <c r="G567" s="15">
        <f>SUM(G568)</f>
        <v>2309.9999999999995</v>
      </c>
      <c r="H567" s="1"/>
    </row>
    <row r="568" spans="1:7" ht="15.75">
      <c r="A568" s="23" t="s">
        <v>92</v>
      </c>
      <c r="B568" s="2" t="s">
        <v>103</v>
      </c>
      <c r="C568" s="2" t="s">
        <v>31</v>
      </c>
      <c r="D568" s="2"/>
      <c r="E568" s="2"/>
      <c r="F568" s="2"/>
      <c r="G568" s="16">
        <f>SUM(G569)</f>
        <v>2309.9999999999995</v>
      </c>
    </row>
    <row r="569" spans="1:7" ht="15.75">
      <c r="A569" s="23" t="s">
        <v>346</v>
      </c>
      <c r="B569" s="2" t="s">
        <v>103</v>
      </c>
      <c r="C569" s="2" t="s">
        <v>31</v>
      </c>
      <c r="D569" s="2" t="s">
        <v>104</v>
      </c>
      <c r="E569" s="2"/>
      <c r="F569" s="2"/>
      <c r="G569" s="16">
        <f>SUM(G570,G578)</f>
        <v>2309.9999999999995</v>
      </c>
    </row>
    <row r="570" spans="1:7" ht="63">
      <c r="A570" s="23" t="s">
        <v>18</v>
      </c>
      <c r="B570" s="2" t="s">
        <v>103</v>
      </c>
      <c r="C570" s="2" t="s">
        <v>31</v>
      </c>
      <c r="D570" s="2" t="s">
        <v>104</v>
      </c>
      <c r="E570" s="2" t="s">
        <v>19</v>
      </c>
      <c r="F570" s="2"/>
      <c r="G570" s="16">
        <f>SUM(G571)</f>
        <v>2227.5999999999995</v>
      </c>
    </row>
    <row r="571" spans="1:7" ht="15.75">
      <c r="A571" s="23" t="s">
        <v>20</v>
      </c>
      <c r="B571" s="2" t="s">
        <v>103</v>
      </c>
      <c r="C571" s="2" t="s">
        <v>31</v>
      </c>
      <c r="D571" s="2" t="s">
        <v>104</v>
      </c>
      <c r="E571" s="2" t="s">
        <v>21</v>
      </c>
      <c r="F571" s="2"/>
      <c r="G571" s="16">
        <f>SUM(G572:G577)</f>
        <v>2227.5999999999995</v>
      </c>
    </row>
    <row r="572" spans="1:7" ht="15.75">
      <c r="A572" s="23" t="s">
        <v>22</v>
      </c>
      <c r="B572" s="2" t="s">
        <v>103</v>
      </c>
      <c r="C572" s="2" t="s">
        <v>31</v>
      </c>
      <c r="D572" s="2" t="s">
        <v>104</v>
      </c>
      <c r="E572" s="2" t="s">
        <v>21</v>
      </c>
      <c r="F572" s="2" t="s">
        <v>23</v>
      </c>
      <c r="G572" s="16">
        <f>2251.9-280-100+17</f>
        <v>1888.9</v>
      </c>
    </row>
    <row r="573" spans="1:7" ht="31.5">
      <c r="A573" s="23" t="s">
        <v>24</v>
      </c>
      <c r="B573" s="2" t="s">
        <v>103</v>
      </c>
      <c r="C573" s="2" t="s">
        <v>31</v>
      </c>
      <c r="D573" s="2" t="s">
        <v>104</v>
      </c>
      <c r="E573" s="2" t="s">
        <v>21</v>
      </c>
      <c r="F573" s="2" t="s">
        <v>25</v>
      </c>
      <c r="G573" s="16">
        <f>6-6</f>
        <v>0</v>
      </c>
    </row>
    <row r="574" spans="1:7" ht="31.5">
      <c r="A574" s="23" t="s">
        <v>35</v>
      </c>
      <c r="B574" s="2" t="s">
        <v>103</v>
      </c>
      <c r="C574" s="2" t="s">
        <v>31</v>
      </c>
      <c r="D574" s="2" t="s">
        <v>104</v>
      </c>
      <c r="E574" s="2" t="s">
        <v>21</v>
      </c>
      <c r="F574" s="2" t="s">
        <v>36</v>
      </c>
      <c r="G574" s="16">
        <f>118.6+5</f>
        <v>123.6</v>
      </c>
    </row>
    <row r="575" spans="1:7" ht="31.5">
      <c r="A575" s="23" t="s">
        <v>26</v>
      </c>
      <c r="B575" s="2" t="s">
        <v>103</v>
      </c>
      <c r="C575" s="2" t="s">
        <v>31</v>
      </c>
      <c r="D575" s="2" t="s">
        <v>104</v>
      </c>
      <c r="E575" s="2" t="s">
        <v>21</v>
      </c>
      <c r="F575" s="2" t="s">
        <v>27</v>
      </c>
      <c r="G575" s="16">
        <f>229.2-17</f>
        <v>212.2</v>
      </c>
    </row>
    <row r="576" spans="1:7" ht="31.5" customHeight="1">
      <c r="A576" s="27" t="s">
        <v>39</v>
      </c>
      <c r="B576" s="2" t="s">
        <v>103</v>
      </c>
      <c r="C576" s="2" t="s">
        <v>31</v>
      </c>
      <c r="D576" s="2" t="s">
        <v>104</v>
      </c>
      <c r="E576" s="2" t="s">
        <v>21</v>
      </c>
      <c r="F576" s="2" t="s">
        <v>40</v>
      </c>
      <c r="G576" s="16">
        <v>0.2</v>
      </c>
    </row>
    <row r="577" spans="1:7" ht="31.5">
      <c r="A577" s="23" t="s">
        <v>97</v>
      </c>
      <c r="B577" s="2" t="s">
        <v>103</v>
      </c>
      <c r="C577" s="2" t="s">
        <v>31</v>
      </c>
      <c r="D577" s="2" t="s">
        <v>104</v>
      </c>
      <c r="E577" s="2" t="s">
        <v>21</v>
      </c>
      <c r="F577" s="2" t="s">
        <v>42</v>
      </c>
      <c r="G577" s="16">
        <f>1.7+1</f>
        <v>2.7</v>
      </c>
    </row>
    <row r="578" spans="1:7" ht="47.25" customHeight="1">
      <c r="A578" s="23" t="s">
        <v>105</v>
      </c>
      <c r="B578" s="2" t="s">
        <v>103</v>
      </c>
      <c r="C578" s="2" t="s">
        <v>31</v>
      </c>
      <c r="D578" s="2" t="s">
        <v>104</v>
      </c>
      <c r="E578" s="2" t="s">
        <v>106</v>
      </c>
      <c r="F578" s="2"/>
      <c r="G578" s="16">
        <f>SUM(G579)</f>
        <v>82.4</v>
      </c>
    </row>
    <row r="579" spans="1:7" ht="31.5">
      <c r="A579" s="23" t="s">
        <v>107</v>
      </c>
      <c r="B579" s="2" t="s">
        <v>103</v>
      </c>
      <c r="C579" s="2" t="s">
        <v>31</v>
      </c>
      <c r="D579" s="2" t="s">
        <v>104</v>
      </c>
      <c r="E579" s="2" t="s">
        <v>108</v>
      </c>
      <c r="F579" s="2"/>
      <c r="G579" s="16">
        <f>SUM(G580)</f>
        <v>82.4</v>
      </c>
    </row>
    <row r="580" spans="1:7" ht="31.5">
      <c r="A580" s="23" t="s">
        <v>26</v>
      </c>
      <c r="B580" s="2" t="s">
        <v>103</v>
      </c>
      <c r="C580" s="2" t="s">
        <v>31</v>
      </c>
      <c r="D580" s="2" t="s">
        <v>104</v>
      </c>
      <c r="E580" s="2" t="s">
        <v>108</v>
      </c>
      <c r="F580" s="2" t="s">
        <v>27</v>
      </c>
      <c r="G580" s="16">
        <v>82.4</v>
      </c>
    </row>
    <row r="581" spans="1:8" ht="15.75">
      <c r="A581" s="22" t="s">
        <v>109</v>
      </c>
      <c r="B581" s="6"/>
      <c r="C581" s="6"/>
      <c r="D581" s="6"/>
      <c r="E581" s="6"/>
      <c r="F581" s="6"/>
      <c r="G581" s="15">
        <f>SUM(G11,G193,G281,G297,G367,G567)</f>
        <v>378924.981</v>
      </c>
      <c r="H581" s="44"/>
    </row>
    <row r="582" s="43" customFormat="1" ht="15"/>
    <row r="583" spans="5:7" s="43" customFormat="1" ht="15">
      <c r="E583" s="54" t="s">
        <v>290</v>
      </c>
      <c r="F583" s="54"/>
      <c r="G583" s="43">
        <f>306032.78+9174+13805.48+261.1</f>
        <v>329273.36</v>
      </c>
    </row>
    <row r="584" spans="5:7" s="43" customFormat="1" ht="15">
      <c r="E584" s="53" t="s">
        <v>287</v>
      </c>
      <c r="F584" s="53"/>
      <c r="G584" s="43">
        <f>42431.3+1024.1</f>
        <v>43455.4</v>
      </c>
    </row>
    <row r="585" spans="5:7" s="43" customFormat="1" ht="15">
      <c r="E585" s="53" t="s">
        <v>364</v>
      </c>
      <c r="F585" s="53"/>
      <c r="G585" s="43">
        <v>2606</v>
      </c>
    </row>
    <row r="586" spans="5:7" s="43" customFormat="1" ht="15">
      <c r="E586" s="53" t="s">
        <v>365</v>
      </c>
      <c r="F586" s="53"/>
      <c r="G586" s="43">
        <f>418.718+577.653+37.5</f>
        <v>1033.871</v>
      </c>
    </row>
    <row r="587" spans="5:7" s="43" customFormat="1" ht="15">
      <c r="E587" s="53" t="s">
        <v>291</v>
      </c>
      <c r="F587" s="53"/>
      <c r="G587" s="43">
        <f>123+27.45+60</f>
        <v>210.45</v>
      </c>
    </row>
    <row r="588" spans="5:7" s="43" customFormat="1" ht="15">
      <c r="E588" s="53" t="s">
        <v>288</v>
      </c>
      <c r="F588" s="53"/>
      <c r="G588" s="43">
        <v>2251.7</v>
      </c>
    </row>
    <row r="589" spans="5:7" s="43" customFormat="1" ht="15">
      <c r="E589" s="53" t="s">
        <v>370</v>
      </c>
      <c r="F589" s="53"/>
      <c r="G589" s="43">
        <v>94.2</v>
      </c>
    </row>
    <row r="590" spans="5:7" s="43" customFormat="1" ht="15">
      <c r="E590" s="53" t="s">
        <v>447</v>
      </c>
      <c r="F590" s="53"/>
      <c r="G590" s="43">
        <v>576.83555</v>
      </c>
    </row>
    <row r="591" spans="5:10" s="43" customFormat="1" ht="15">
      <c r="E591" s="53" t="s">
        <v>289</v>
      </c>
      <c r="F591" s="53"/>
      <c r="G591" s="43">
        <f>SUM(G583:G589)</f>
        <v>378924.981</v>
      </c>
      <c r="H591" s="54" t="s">
        <v>292</v>
      </c>
      <c r="I591" s="54"/>
      <c r="J591" s="43">
        <f>G591</f>
        <v>378924.981</v>
      </c>
    </row>
    <row r="592" spans="5:10" s="43" customFormat="1" ht="15">
      <c r="E592" s="54" t="s">
        <v>371</v>
      </c>
      <c r="F592" s="54"/>
      <c r="G592" s="43">
        <f>G589+G585+G586+G590-752.56882</f>
        <v>3558.3377299999997</v>
      </c>
      <c r="H592" s="54" t="s">
        <v>293</v>
      </c>
      <c r="I592" s="54"/>
      <c r="J592" s="43">
        <f>J591-G581</f>
        <v>0</v>
      </c>
    </row>
  </sheetData>
  <sheetProtection/>
  <mergeCells count="14">
    <mergeCell ref="E591:F591"/>
    <mergeCell ref="E583:F583"/>
    <mergeCell ref="E587:F587"/>
    <mergeCell ref="H591:I591"/>
    <mergeCell ref="H592:I592"/>
    <mergeCell ref="E586:F586"/>
    <mergeCell ref="E592:F592"/>
    <mergeCell ref="E590:F590"/>
    <mergeCell ref="A7:G7"/>
    <mergeCell ref="A8:G8"/>
    <mergeCell ref="E584:F584"/>
    <mergeCell ref="E588:F588"/>
    <mergeCell ref="E589:F589"/>
    <mergeCell ref="E585:F585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B46" sqref="B46"/>
    </sheetView>
  </sheetViews>
  <sheetFormatPr defaultColWidth="9.140625" defaultRowHeight="15"/>
  <cols>
    <col min="1" max="1" width="18.140625" style="42" customWidth="1"/>
    <col min="2" max="2" width="17.57421875" style="0" customWidth="1"/>
  </cols>
  <sheetData>
    <row r="1" spans="1:2" ht="15">
      <c r="A1" s="42" t="s">
        <v>294</v>
      </c>
      <c r="B1">
        <f>SUM(B2:B7)</f>
        <v>45224.25967</v>
      </c>
    </row>
    <row r="2" spans="1:2" ht="15">
      <c r="A2" s="42" t="s">
        <v>295</v>
      </c>
      <c r="B2">
        <f>Лист1!G13</f>
        <v>1562.53</v>
      </c>
    </row>
    <row r="3" spans="1:2" ht="15">
      <c r="A3" s="42" t="s">
        <v>296</v>
      </c>
      <c r="B3">
        <f>Лист1!G21</f>
        <v>14435.86627</v>
      </c>
    </row>
    <row r="4" spans="1:2" s="1" customFormat="1" ht="15">
      <c r="A4" s="42" t="s">
        <v>326</v>
      </c>
      <c r="B4" s="1">
        <f>Лист1!G195</f>
        <v>4556.33</v>
      </c>
    </row>
    <row r="5" spans="1:2" ht="15">
      <c r="A5" s="42" t="s">
        <v>297</v>
      </c>
      <c r="B5">
        <f>Лист1!G40</f>
        <v>992.5889999999999</v>
      </c>
    </row>
    <row r="6" spans="1:2" s="1" customFormat="1" ht="15">
      <c r="A6" s="42" t="s">
        <v>341</v>
      </c>
      <c r="B6" s="1">
        <f>Лист1!G44</f>
        <v>0</v>
      </c>
    </row>
    <row r="7" spans="1:2" ht="15">
      <c r="A7" s="42" t="s">
        <v>298</v>
      </c>
      <c r="B7">
        <f>Лист1!G49+Лист1!G207+Лист1!G369+Лист1!G283</f>
        <v>23676.944400000004</v>
      </c>
    </row>
    <row r="8" spans="1:2" ht="15">
      <c r="A8" s="42" t="s">
        <v>299</v>
      </c>
      <c r="B8">
        <f>SUM(B9)</f>
        <v>809.8</v>
      </c>
    </row>
    <row r="9" spans="1:2" ht="15">
      <c r="A9" s="42" t="s">
        <v>300</v>
      </c>
      <c r="B9">
        <f>Лист1!G218</f>
        <v>809.8</v>
      </c>
    </row>
    <row r="10" spans="1:2" s="1" customFormat="1" ht="15">
      <c r="A10" s="42" t="s">
        <v>303</v>
      </c>
      <c r="B10" s="1">
        <f>SUM(B11:B13)</f>
        <v>1607.245</v>
      </c>
    </row>
    <row r="11" spans="1:2" ht="15">
      <c r="A11" s="42" t="s">
        <v>301</v>
      </c>
      <c r="B11">
        <f>Лист1!G77</f>
        <v>18</v>
      </c>
    </row>
    <row r="12" spans="1:2" s="1" customFormat="1" ht="15">
      <c r="A12" s="42" t="s">
        <v>327</v>
      </c>
      <c r="B12" s="1">
        <f>Лист1!G83</f>
        <v>587.8</v>
      </c>
    </row>
    <row r="13" spans="1:2" ht="15">
      <c r="A13" s="42" t="s">
        <v>302</v>
      </c>
      <c r="B13">
        <f>Лист1!G89</f>
        <v>1001.445</v>
      </c>
    </row>
    <row r="14" spans="1:2" ht="15">
      <c r="A14" s="42" t="s">
        <v>304</v>
      </c>
      <c r="B14">
        <f>SUM(B15:B19)</f>
        <v>18829.684999999998</v>
      </c>
    </row>
    <row r="15" spans="1:2" ht="15">
      <c r="A15" s="42" t="s">
        <v>305</v>
      </c>
      <c r="B15">
        <f>Лист1!G569</f>
        <v>2309.9999999999995</v>
      </c>
    </row>
    <row r="16" s="1" customFormat="1" ht="15">
      <c r="A16" s="42" t="s">
        <v>469</v>
      </c>
    </row>
    <row r="17" spans="1:2" s="1" customFormat="1" ht="15">
      <c r="A17" s="42" t="s">
        <v>462</v>
      </c>
      <c r="B17" s="1">
        <f>Лист1!G101</f>
        <v>30</v>
      </c>
    </row>
    <row r="18" spans="1:2" ht="15">
      <c r="A18" s="42" t="s">
        <v>306</v>
      </c>
      <c r="B18">
        <f>Лист1!G224</f>
        <v>15622.1</v>
      </c>
    </row>
    <row r="19" spans="1:2" ht="15">
      <c r="A19" s="42" t="s">
        <v>307</v>
      </c>
      <c r="B19">
        <f>Лист1!G105</f>
        <v>867.585</v>
      </c>
    </row>
    <row r="20" spans="1:2" s="1" customFormat="1" ht="15">
      <c r="A20" s="42" t="s">
        <v>339</v>
      </c>
      <c r="B20" s="1">
        <f>SUM(B21:B24)</f>
        <v>66818.94673</v>
      </c>
    </row>
    <row r="21" s="1" customFormat="1" ht="15">
      <c r="A21" s="42" t="s">
        <v>395</v>
      </c>
    </row>
    <row r="22" spans="1:2" s="1" customFormat="1" ht="15">
      <c r="A22" s="42" t="s">
        <v>394</v>
      </c>
      <c r="B22" s="1">
        <f>Лист1!G232</f>
        <v>17700.65</v>
      </c>
    </row>
    <row r="23" spans="1:2" s="1" customFormat="1" ht="15">
      <c r="A23" s="42" t="s">
        <v>396</v>
      </c>
      <c r="B23" s="1">
        <f>Лист1!G239+Лист1!G118</f>
        <v>84</v>
      </c>
    </row>
    <row r="24" spans="1:2" s="1" customFormat="1" ht="15">
      <c r="A24" s="42" t="s">
        <v>340</v>
      </c>
      <c r="B24" s="1">
        <f>Лист1!G122+Лист1!G242</f>
        <v>49034.29673</v>
      </c>
    </row>
    <row r="25" spans="1:2" ht="15">
      <c r="A25" s="42" t="s">
        <v>308</v>
      </c>
      <c r="B25">
        <f>SUM(B26:B29)</f>
        <v>197204.52599999995</v>
      </c>
    </row>
    <row r="26" spans="1:2" ht="15">
      <c r="A26" s="42" t="s">
        <v>309</v>
      </c>
      <c r="B26">
        <f>Лист1!G382</f>
        <v>24371.03094</v>
      </c>
    </row>
    <row r="27" spans="1:2" ht="15">
      <c r="A27" s="42" t="s">
        <v>310</v>
      </c>
      <c r="B27">
        <f>Лист1!G299+Лист1!G422</f>
        <v>160370.15585999997</v>
      </c>
    </row>
    <row r="28" spans="1:2" ht="15">
      <c r="A28" s="42" t="s">
        <v>311</v>
      </c>
      <c r="B28">
        <f>Лист1!G138+Лист1!G505</f>
        <v>1849.425</v>
      </c>
    </row>
    <row r="29" spans="1:2" ht="15">
      <c r="A29" s="42" t="s">
        <v>312</v>
      </c>
      <c r="B29">
        <f>Лист1!G514</f>
        <v>10613.9142</v>
      </c>
    </row>
    <row r="30" spans="1:2" ht="15">
      <c r="A30" s="42" t="s">
        <v>313</v>
      </c>
      <c r="B30">
        <f>SUM(B31:B32)</f>
        <v>12648.156</v>
      </c>
    </row>
    <row r="31" spans="1:2" ht="15">
      <c r="A31" s="42" t="s">
        <v>314</v>
      </c>
      <c r="B31">
        <f>Лист1!G307+Лист1!G257</f>
        <v>10697.706</v>
      </c>
    </row>
    <row r="32" spans="1:2" ht="15">
      <c r="A32" s="42" t="s">
        <v>315</v>
      </c>
      <c r="B32">
        <f>Лист1!G342</f>
        <v>1950.45</v>
      </c>
    </row>
    <row r="33" spans="1:2" ht="15">
      <c r="A33" s="42" t="s">
        <v>316</v>
      </c>
      <c r="B33">
        <f>SUM(B34:B38)</f>
        <v>16247.194599999999</v>
      </c>
    </row>
    <row r="34" spans="1:2" ht="15">
      <c r="A34" s="42" t="s">
        <v>317</v>
      </c>
      <c r="B34">
        <f>Лист1!G144</f>
        <v>1195.5198</v>
      </c>
    </row>
    <row r="35" s="1" customFormat="1" ht="15">
      <c r="A35" s="42" t="s">
        <v>397</v>
      </c>
    </row>
    <row r="36" spans="1:2" ht="15">
      <c r="A36" s="42" t="s">
        <v>318</v>
      </c>
      <c r="B36">
        <f>Лист1!G148+Лист1!G540+Лист1!G362</f>
        <v>5613.7748</v>
      </c>
    </row>
    <row r="37" spans="1:2" ht="15">
      <c r="A37" s="42" t="s">
        <v>319</v>
      </c>
      <c r="B37">
        <f>Лист1!G549</f>
        <v>9437.9</v>
      </c>
    </row>
    <row r="38" spans="1:2" s="1" customFormat="1" ht="15">
      <c r="A38" s="42" t="s">
        <v>423</v>
      </c>
      <c r="B38" s="1">
        <f>Лист1!G179</f>
        <v>0</v>
      </c>
    </row>
    <row r="39" spans="1:2" ht="15">
      <c r="A39" s="42" t="s">
        <v>320</v>
      </c>
      <c r="B39">
        <f>SUM(B40:B41)</f>
        <v>2301.24</v>
      </c>
    </row>
    <row r="40" spans="1:2" s="1" customFormat="1" ht="15">
      <c r="A40" s="42" t="s">
        <v>353</v>
      </c>
      <c r="B40" s="1">
        <f>Лист1!G185</f>
        <v>1971.24</v>
      </c>
    </row>
    <row r="41" spans="1:2" ht="15">
      <c r="A41" s="42" t="s">
        <v>321</v>
      </c>
      <c r="B41">
        <f>Лист1!G190</f>
        <v>330</v>
      </c>
    </row>
    <row r="42" spans="1:2" ht="15">
      <c r="A42" s="42" t="s">
        <v>322</v>
      </c>
      <c r="B42">
        <f>SUM(B43:B44)</f>
        <v>17233.928</v>
      </c>
    </row>
    <row r="43" spans="1:2" ht="15">
      <c r="A43" s="42" t="s">
        <v>323</v>
      </c>
      <c r="B43">
        <f>Лист1!G267</f>
        <v>11717.529999999999</v>
      </c>
    </row>
    <row r="44" spans="1:2" ht="15">
      <c r="A44" s="42" t="s">
        <v>324</v>
      </c>
      <c r="B44">
        <f>Лист1!G273</f>
        <v>5516.397999999999</v>
      </c>
    </row>
    <row r="45" spans="1:2" ht="15">
      <c r="A45" s="45" t="s">
        <v>325</v>
      </c>
      <c r="B45" s="49">
        <f>SUM(B1,B8,B10,B14,B20,B25,B30,B33,B39,B42)</f>
        <v>378924.98099999997</v>
      </c>
    </row>
    <row r="46" ht="15">
      <c r="B46" s="46">
        <f>B45-Лист1!G581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Денисов</cp:lastModifiedBy>
  <cp:lastPrinted>2013-09-06T11:42:47Z</cp:lastPrinted>
  <dcterms:created xsi:type="dcterms:W3CDTF">2012-10-23T11:30:22Z</dcterms:created>
  <dcterms:modified xsi:type="dcterms:W3CDTF">2013-12-02T05:30:28Z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